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36" windowHeight="9444"/>
  </bookViews>
  <sheets>
    <sheet name="A" sheetId="1" r:id="rId1"/>
    <sheet name="B" sheetId="2" r:id="rId2"/>
  </sheets>
  <definedNames>
    <definedName name="_NBSTARTMACRO">B!$B$1</definedName>
    <definedName name="ALLOC2">A!$AO$17:$AO$26</definedName>
    <definedName name="ALLOC8">A!$AO$80:$AO$86</definedName>
    <definedName name="_AUD13">A!$BQ$133:$CD$136</definedName>
    <definedName name="AUDIT">A!$BQ$17:$CD$26</definedName>
    <definedName name="AUDIT8">A!$BP$80:$CD$86</definedName>
    <definedName name="BU">A!$N$151:$V$151</definedName>
    <definedName name="CASH">A!$W$29:$W$35</definedName>
    <definedName name="CASH13">A!$W$133:$W$136</definedName>
    <definedName name="CASH2">A!$W$17:$W$26</definedName>
    <definedName name="CASH8">A!$W$80:$W$86</definedName>
    <definedName name="DATA">A!$N$163:$W$175</definedName>
    <definedName name="DISB">A!$N$17:$R$26</definedName>
    <definedName name="DISB13">A!$N$133:$V$136</definedName>
    <definedName name="DISB8">A!$N$80:$R$86</definedName>
    <definedName name="DISBTOT8">A!$V$80:$V$86</definedName>
    <definedName name="ELEVEN">A!$D$120:$BR$124</definedName>
    <definedName name="EN">A!$N$153:$V$153</definedName>
    <definedName name="EXP">A!$AO$29:$AP$35</definedName>
    <definedName name="_EXP13">A!$AO$133:$AP$136</definedName>
    <definedName name="_EXP2">A!$AP$17:$AP$26</definedName>
    <definedName name="_EXP8">A!$AP$80:$AP$86</definedName>
    <definedName name="LO">A!$N$157:$V$161</definedName>
    <definedName name="_LO2">A!$AO$157:$AP$161</definedName>
    <definedName name="NAMES">A!$B$12:$E$200</definedName>
    <definedName name="NINE">A!$D$87:$BR$104</definedName>
    <definedName name="_xlnm.Print_Titles" localSheetId="0">A!$A:$B,A!$3:$11</definedName>
    <definedName name="_xlnm.Print_Titles" localSheetId="1">B!$A:$B,B!$3:$11</definedName>
    <definedName name="RATIO">A!$W$12:$W$13</definedName>
    <definedName name="_REG12">A!$N$130:$V$131</definedName>
    <definedName name="_REG13">A!$N$133:$V$136</definedName>
    <definedName name="_REG17">A!$N$151:$V$161</definedName>
    <definedName name="SUMDISB">A!$N$16:$V$16</definedName>
    <definedName name="SUMEXP">A!$AO$16:$AP$16</definedName>
    <definedName name="SUMRATIO">A!$W$16:$W$16</definedName>
    <definedName name="THIRTEEN">A!$D$133:$BR$136</definedName>
    <definedName name="TOTDISB">A!$V$17:$V$26</definedName>
  </definedNames>
  <calcPr calcId="0" fullCalcOnLoad="1" iterateCount="2"/>
</workbook>
</file>

<file path=xl/calcChain.xml><?xml version="1.0" encoding="utf-8"?>
<calcChain xmlns="http://schemas.openxmlformats.org/spreadsheetml/2006/main">
  <c r="H9" i="1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H10"/>
  <c r="I10"/>
  <c r="J10"/>
  <c r="K10"/>
  <c r="L10"/>
  <c r="M10"/>
  <c r="N10"/>
  <c r="O10"/>
  <c r="P10"/>
  <c r="Q10"/>
  <c r="R10"/>
  <c r="S10"/>
  <c r="T10"/>
  <c r="U10"/>
  <c r="V10"/>
  <c r="X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S10"/>
  <c r="AT10"/>
  <c r="AU10"/>
  <c r="AV10"/>
  <c r="AW10"/>
  <c r="AX10"/>
  <c r="AY10"/>
  <c r="AZ10"/>
  <c r="BA10"/>
  <c r="BB10"/>
  <c r="BC10"/>
  <c r="BD10"/>
  <c r="BE10"/>
  <c r="BF10"/>
  <c r="BG10"/>
  <c r="BH10"/>
  <c r="BI10"/>
  <c r="BJ10"/>
  <c r="BK10"/>
  <c r="BL10"/>
  <c r="BM10"/>
  <c r="BN10"/>
  <c r="BO10"/>
  <c r="BP10"/>
  <c r="BQ10"/>
  <c r="BR10"/>
  <c r="BS10"/>
  <c r="BT10"/>
  <c r="BU10"/>
  <c r="BV10"/>
  <c r="BW10"/>
  <c r="BX10"/>
  <c r="BY10"/>
  <c r="Y12"/>
  <c r="AB12"/>
  <c r="AK12"/>
  <c r="AR12"/>
  <c r="BI12"/>
  <c r="Y13"/>
  <c r="AB13"/>
  <c r="AF13"/>
  <c r="AK13"/>
  <c r="AR13"/>
  <c r="BI13"/>
  <c r="Y14"/>
  <c r="AB14"/>
  <c r="AK14"/>
  <c r="AR14"/>
  <c r="BI14"/>
  <c r="Y15"/>
  <c r="AB15"/>
  <c r="AF15"/>
  <c r="AK15"/>
  <c r="AR15"/>
  <c r="BI15"/>
  <c r="Y16"/>
  <c r="AB16"/>
  <c r="AF16"/>
  <c r="AK16"/>
  <c r="AR16"/>
  <c r="BI16"/>
  <c r="Y17"/>
  <c r="AB17"/>
  <c r="AF17"/>
  <c r="AK17"/>
  <c r="AR17"/>
  <c r="BI17"/>
  <c r="Y18"/>
  <c r="AB18"/>
  <c r="AF18"/>
  <c r="AK18"/>
  <c r="AR18"/>
  <c r="BI18"/>
  <c r="Y19"/>
  <c r="AB19"/>
  <c r="AK19"/>
  <c r="AR19"/>
  <c r="BD19"/>
  <c r="BI19"/>
  <c r="Y20"/>
  <c r="AB20"/>
  <c r="AK20"/>
  <c r="AR20"/>
  <c r="BI20"/>
  <c r="Y21"/>
  <c r="AB21"/>
  <c r="AF21"/>
  <c r="AK21"/>
  <c r="AR21"/>
  <c r="BI21"/>
  <c r="Y22"/>
  <c r="AB22"/>
  <c r="AF22"/>
  <c r="AK22"/>
  <c r="AR22"/>
  <c r="BI22"/>
  <c r="Y23"/>
  <c r="AB23"/>
  <c r="AK23"/>
  <c r="AR23"/>
  <c r="BI23"/>
  <c r="Y24"/>
  <c r="AB24"/>
  <c r="AK24"/>
  <c r="AR24"/>
  <c r="BI24"/>
  <c r="Y25"/>
  <c r="AB25"/>
  <c r="AK25"/>
  <c r="AR25"/>
  <c r="BA25"/>
  <c r="BI25"/>
  <c r="Y26"/>
  <c r="AB26"/>
  <c r="AK26"/>
  <c r="AR26"/>
  <c r="BI26"/>
  <c r="Y27"/>
  <c r="AB27"/>
  <c r="AK27"/>
  <c r="AR27"/>
  <c r="BI27"/>
  <c r="Y28"/>
  <c r="AB28"/>
  <c r="AF28"/>
  <c r="AK28"/>
  <c r="AR28"/>
  <c r="BD28"/>
  <c r="BI28"/>
  <c r="Y29"/>
  <c r="AB29"/>
  <c r="AF29"/>
  <c r="AK29"/>
  <c r="AR29"/>
  <c r="BD29"/>
  <c r="BI29"/>
  <c r="Y30"/>
  <c r="AB30"/>
  <c r="AK30"/>
  <c r="AR30"/>
  <c r="BI30"/>
  <c r="Y31"/>
  <c r="AB31"/>
  <c r="AF31"/>
  <c r="AK31"/>
  <c r="AR31"/>
  <c r="BI31"/>
  <c r="Y32"/>
  <c r="AB32"/>
  <c r="AF32"/>
  <c r="AK32"/>
  <c r="AR32"/>
  <c r="BD32"/>
  <c r="BI32"/>
  <c r="Y33"/>
  <c r="AB33"/>
  <c r="AK33"/>
  <c r="AR33"/>
  <c r="BD33"/>
  <c r="BI33"/>
  <c r="Y34"/>
  <c r="AB34"/>
  <c r="AK34"/>
  <c r="AR34"/>
  <c r="BB34"/>
  <c r="BD34"/>
  <c r="BI34"/>
  <c r="Y35"/>
  <c r="AB35"/>
  <c r="AF35"/>
  <c r="AK35"/>
  <c r="AR35"/>
  <c r="BD35"/>
  <c r="BI35"/>
  <c r="Y36"/>
  <c r="AK36"/>
  <c r="BI36"/>
  <c r="Y37"/>
  <c r="AB37"/>
  <c r="AK37"/>
  <c r="AR37"/>
  <c r="BD37"/>
  <c r="BI37"/>
  <c r="Y38"/>
  <c r="AB38"/>
  <c r="AK38"/>
  <c r="AR38"/>
  <c r="BI38"/>
  <c r="Y39"/>
  <c r="AB39"/>
  <c r="AK39"/>
  <c r="AR39"/>
  <c r="BF39"/>
  <c r="BI39"/>
  <c r="Y40"/>
  <c r="AB40"/>
  <c r="AF40"/>
  <c r="AK40"/>
  <c r="AR40"/>
  <c r="BD40"/>
  <c r="BI40"/>
  <c r="Y41"/>
  <c r="AB41"/>
  <c r="AK41"/>
  <c r="AR41"/>
  <c r="BI41"/>
  <c r="Y42"/>
  <c r="AB42"/>
  <c r="AK42"/>
  <c r="AR42"/>
  <c r="BD42"/>
  <c r="BI42"/>
  <c r="Y43"/>
  <c r="AB43"/>
  <c r="AF43"/>
  <c r="AK43"/>
  <c r="AR43"/>
  <c r="BI43"/>
  <c r="Y44"/>
  <c r="AB44"/>
  <c r="AK44"/>
  <c r="AR44"/>
  <c r="BI44"/>
  <c r="Y45"/>
  <c r="AB45"/>
  <c r="AK45"/>
  <c r="AR45"/>
  <c r="BD45"/>
  <c r="BI45"/>
  <c r="Y46"/>
  <c r="AB46"/>
  <c r="AK46"/>
  <c r="AR46"/>
  <c r="BI46"/>
  <c r="Y47"/>
  <c r="AB47"/>
  <c r="AF47"/>
  <c r="AK47"/>
  <c r="AR47"/>
  <c r="BI47"/>
  <c r="Y48"/>
  <c r="AB48"/>
  <c r="AK48"/>
  <c r="AR48"/>
  <c r="BI48"/>
  <c r="Y49"/>
  <c r="AB49"/>
  <c r="AF49"/>
  <c r="AK49"/>
  <c r="AR49"/>
  <c r="BD49"/>
  <c r="BI49"/>
  <c r="Y50"/>
  <c r="AB50"/>
  <c r="AK50"/>
  <c r="AR50"/>
  <c r="BI50"/>
  <c r="Y51"/>
  <c r="AB51"/>
  <c r="AF51"/>
  <c r="AK51"/>
  <c r="AR51"/>
  <c r="BD51"/>
  <c r="BI51"/>
  <c r="Y52"/>
  <c r="AB52"/>
  <c r="AK52"/>
  <c r="AR52"/>
  <c r="BI52"/>
  <c r="Y53"/>
  <c r="AB53"/>
  <c r="AF53"/>
  <c r="AK53"/>
  <c r="AR53"/>
  <c r="BI53"/>
  <c r="Y54"/>
  <c r="AB54"/>
  <c r="AK54"/>
  <c r="AR54"/>
  <c r="BD54"/>
  <c r="BI54"/>
  <c r="Y55"/>
  <c r="AB55"/>
  <c r="AF55"/>
  <c r="AK55"/>
  <c r="AR55"/>
  <c r="BI55"/>
  <c r="Y56"/>
  <c r="AB56"/>
  <c r="AF56"/>
  <c r="AK56"/>
  <c r="AR56"/>
  <c r="BI56"/>
  <c r="Y57"/>
  <c r="AB57"/>
  <c r="AK57"/>
  <c r="AR57"/>
  <c r="BI57"/>
  <c r="Y58"/>
  <c r="AB58"/>
  <c r="AK58"/>
  <c r="AR58"/>
  <c r="BD58"/>
  <c r="BI58"/>
  <c r="Y59"/>
  <c r="AB59"/>
  <c r="AF59"/>
  <c r="AK59"/>
  <c r="AR59"/>
  <c r="BI59"/>
  <c r="Y60"/>
  <c r="AB60"/>
  <c r="AF60"/>
  <c r="AK60"/>
  <c r="AR60"/>
  <c r="BD60"/>
  <c r="BI60"/>
  <c r="X61"/>
  <c r="Y61"/>
  <c r="AB61"/>
  <c r="AF61"/>
  <c r="AK61"/>
  <c r="AR61"/>
  <c r="BI61"/>
  <c r="Y62"/>
  <c r="AB62"/>
  <c r="AK62"/>
  <c r="AR62"/>
  <c r="BI62"/>
  <c r="BP62"/>
  <c r="Y63"/>
  <c r="AB63"/>
  <c r="AF63"/>
  <c r="AK63"/>
  <c r="AR63"/>
  <c r="BI63"/>
  <c r="Y64"/>
  <c r="AB64"/>
  <c r="AF64"/>
  <c r="AK64"/>
  <c r="AR64"/>
  <c r="BD64"/>
  <c r="BI64"/>
  <c r="Y65"/>
  <c r="AB65"/>
  <c r="AF65"/>
  <c r="AK65"/>
  <c r="AR65"/>
  <c r="BD65"/>
  <c r="BI65"/>
  <c r="Y66"/>
  <c r="AB66"/>
  <c r="AK66"/>
  <c r="AR66"/>
  <c r="BI66"/>
  <c r="Y67"/>
  <c r="AB67"/>
  <c r="AK67"/>
  <c r="AR67"/>
  <c r="BD67"/>
  <c r="BI67"/>
  <c r="Y68"/>
  <c r="AB68"/>
  <c r="AF68"/>
  <c r="AK68"/>
  <c r="AR68"/>
  <c r="BD68"/>
  <c r="BI68"/>
  <c r="Y69"/>
  <c r="AB69"/>
  <c r="AK69"/>
  <c r="AR69"/>
  <c r="AV69"/>
  <c r="AY69"/>
  <c r="BD69"/>
  <c r="BI69"/>
  <c r="Y70"/>
  <c r="AB70"/>
  <c r="AK70"/>
  <c r="AR70"/>
  <c r="BD70"/>
  <c r="BI70"/>
  <c r="Y71"/>
  <c r="AB71"/>
  <c r="AK71"/>
  <c r="AR71"/>
  <c r="BI71"/>
  <c r="Y72"/>
  <c r="AB72"/>
  <c r="AF72"/>
  <c r="AK72"/>
  <c r="AR72"/>
  <c r="BI72"/>
  <c r="Y73"/>
  <c r="AB73"/>
  <c r="AK73"/>
  <c r="AR73"/>
  <c r="BI73"/>
  <c r="Y74"/>
  <c r="AB74"/>
  <c r="AK74"/>
  <c r="AR74"/>
  <c r="BD74"/>
  <c r="BI74"/>
  <c r="Y75"/>
  <c r="AB75"/>
  <c r="AK75"/>
  <c r="AR75"/>
  <c r="BI75"/>
  <c r="Y76"/>
  <c r="AB76"/>
  <c r="AK76"/>
  <c r="AR76"/>
  <c r="BI76"/>
  <c r="Y77"/>
  <c r="AB77"/>
  <c r="AF77"/>
  <c r="AK77"/>
  <c r="AR77"/>
  <c r="BI77"/>
  <c r="Y78"/>
  <c r="AB78"/>
  <c r="AK78"/>
  <c r="AR78"/>
  <c r="BI78"/>
  <c r="Y79"/>
  <c r="AB79"/>
  <c r="AK79"/>
  <c r="AR79"/>
  <c r="BI79"/>
  <c r="X80"/>
  <c r="Y80"/>
  <c r="AB80"/>
  <c r="AK80"/>
  <c r="AR80"/>
  <c r="BI80"/>
  <c r="X81"/>
  <c r="Y81"/>
  <c r="AB81"/>
  <c r="AK81"/>
  <c r="AR81"/>
  <c r="BD81"/>
  <c r="BI81"/>
  <c r="Y82"/>
  <c r="AB82"/>
  <c r="AK82"/>
  <c r="AR82"/>
  <c r="BI82"/>
  <c r="Y83"/>
  <c r="AB83"/>
  <c r="AK83"/>
  <c r="AR83"/>
  <c r="BD83"/>
  <c r="BI83"/>
  <c r="Y84"/>
  <c r="AB84"/>
  <c r="AK84"/>
  <c r="AR84"/>
  <c r="BI84"/>
  <c r="X85"/>
  <c r="Y85"/>
  <c r="AB85"/>
  <c r="AK85"/>
  <c r="AR85"/>
  <c r="BI85"/>
  <c r="Y86"/>
  <c r="AB86"/>
  <c r="AK86"/>
  <c r="AR86"/>
  <c r="BI86"/>
  <c r="Y87"/>
  <c r="AB87"/>
  <c r="AF87"/>
  <c r="AK87"/>
  <c r="AR87"/>
  <c r="BD87"/>
  <c r="BI87"/>
  <c r="Y88"/>
  <c r="AB88"/>
  <c r="AK88"/>
  <c r="AR88"/>
  <c r="BD88"/>
  <c r="BI88"/>
  <c r="Y89"/>
  <c r="AB89"/>
  <c r="AF89"/>
  <c r="AK89"/>
  <c r="AR89"/>
  <c r="BD89"/>
  <c r="BI89"/>
  <c r="Y90"/>
  <c r="AB90"/>
  <c r="AF90"/>
  <c r="AK90"/>
  <c r="AR90"/>
  <c r="BD90"/>
  <c r="BI90"/>
  <c r="Y91"/>
  <c r="AB91"/>
  <c r="AF91"/>
  <c r="AK91"/>
  <c r="AR91"/>
  <c r="BI91"/>
  <c r="Y92"/>
  <c r="AB92"/>
  <c r="AF92"/>
  <c r="AK92"/>
  <c r="AR92"/>
  <c r="BI92"/>
  <c r="Y93"/>
  <c r="AB93"/>
  <c r="AK93"/>
  <c r="AR93"/>
  <c r="BD93"/>
  <c r="BI93"/>
  <c r="Y94"/>
  <c r="AB94"/>
  <c r="AF94"/>
  <c r="AK94"/>
  <c r="AR94"/>
  <c r="BI94"/>
  <c r="Y95"/>
  <c r="AB95"/>
  <c r="AF95"/>
  <c r="AK95"/>
  <c r="AR95"/>
  <c r="BI95"/>
  <c r="Y96"/>
  <c r="AB96"/>
  <c r="AF96"/>
  <c r="AK96"/>
  <c r="AR96"/>
  <c r="BD96"/>
  <c r="BI96"/>
  <c r="Y97"/>
  <c r="AF97"/>
  <c r="AK97"/>
  <c r="AR97"/>
  <c r="BD97"/>
  <c r="BI97"/>
  <c r="Y98"/>
  <c r="AB98"/>
  <c r="AK98"/>
  <c r="AR98"/>
  <c r="BD98"/>
  <c r="BI98"/>
  <c r="Y99"/>
  <c r="AB99"/>
  <c r="AK99"/>
  <c r="AR99"/>
  <c r="BI99"/>
  <c r="Y100"/>
  <c r="AB100"/>
  <c r="AF100"/>
  <c r="AK100"/>
  <c r="AR100"/>
  <c r="BI100"/>
  <c r="Y101"/>
  <c r="AB101"/>
  <c r="AK101"/>
  <c r="AR101"/>
  <c r="BI101"/>
  <c r="Y102"/>
  <c r="AB102"/>
  <c r="AF102"/>
  <c r="AK102"/>
  <c r="AR102"/>
  <c r="BI102"/>
  <c r="Y103"/>
  <c r="AB103"/>
  <c r="AF103"/>
  <c r="AK103"/>
  <c r="AR103"/>
  <c r="BD103"/>
  <c r="BI103"/>
  <c r="Y104"/>
  <c r="AB104"/>
  <c r="AF104"/>
  <c r="AK104"/>
  <c r="AR104"/>
  <c r="BI104"/>
  <c r="Y105"/>
  <c r="AB105"/>
  <c r="AK105"/>
  <c r="AR105"/>
  <c r="BD105"/>
  <c r="BI105"/>
  <c r="Y106"/>
  <c r="AB106"/>
  <c r="AF106"/>
  <c r="AK106"/>
  <c r="AR106"/>
  <c r="BD106"/>
  <c r="BI106"/>
  <c r="Y107"/>
  <c r="AB107"/>
  <c r="AF107"/>
  <c r="AK107"/>
  <c r="AR107"/>
  <c r="BD107"/>
  <c r="BI107"/>
  <c r="Y108"/>
  <c r="AB108"/>
  <c r="AK108"/>
  <c r="AR108"/>
  <c r="BI108"/>
  <c r="Y109"/>
  <c r="AB109"/>
  <c r="AF109"/>
  <c r="AK109"/>
  <c r="AR109"/>
  <c r="BD109"/>
  <c r="BI109"/>
  <c r="Y110"/>
  <c r="AB110"/>
  <c r="AF110"/>
  <c r="AK110"/>
  <c r="AR110"/>
  <c r="BI110"/>
  <c r="Y111"/>
  <c r="AB111"/>
  <c r="AK111"/>
  <c r="AR111"/>
  <c r="BD111"/>
  <c r="BI111"/>
  <c r="Y112"/>
  <c r="AB112"/>
  <c r="AF112"/>
  <c r="AK112"/>
  <c r="AR112"/>
  <c r="BD112"/>
  <c r="BI112"/>
  <c r="Y113"/>
  <c r="AB113"/>
  <c r="AF113"/>
  <c r="AK113"/>
  <c r="AR113"/>
  <c r="BD113"/>
  <c r="BI113"/>
  <c r="Y114"/>
  <c r="AB114"/>
  <c r="AK114"/>
  <c r="AR114"/>
  <c r="BD114"/>
  <c r="BI114"/>
  <c r="Y115"/>
  <c r="AB115"/>
  <c r="AF115"/>
  <c r="AK115"/>
  <c r="AR115"/>
  <c r="BD115"/>
  <c r="BI115"/>
  <c r="Y116"/>
  <c r="AK116"/>
  <c r="AR116"/>
  <c r="BI116"/>
  <c r="Y117"/>
  <c r="AB117"/>
  <c r="AF117"/>
  <c r="AK117"/>
  <c r="AR117"/>
  <c r="BD117"/>
  <c r="BI117"/>
  <c r="Y118"/>
  <c r="AB118"/>
  <c r="AF118"/>
  <c r="AK118"/>
  <c r="AR118"/>
  <c r="BI118"/>
  <c r="Y119"/>
  <c r="AB119"/>
  <c r="AF119"/>
  <c r="AK119"/>
  <c r="AR119"/>
  <c r="BI119"/>
  <c r="Y120"/>
  <c r="AF120"/>
  <c r="AK120"/>
  <c r="AR120"/>
  <c r="BD120"/>
  <c r="BI120"/>
  <c r="Y121"/>
  <c r="AB121"/>
  <c r="AF121"/>
  <c r="AK121"/>
  <c r="AR121"/>
  <c r="BI121"/>
  <c r="Y122"/>
  <c r="AB122"/>
  <c r="AF122"/>
  <c r="AK122"/>
  <c r="AR122"/>
  <c r="BI122"/>
  <c r="Y123"/>
  <c r="AB123"/>
  <c r="AF123"/>
  <c r="AK123"/>
  <c r="AR123"/>
  <c r="BD123"/>
  <c r="BI123"/>
  <c r="Y124"/>
  <c r="AB124"/>
  <c r="AK124"/>
  <c r="AR124"/>
  <c r="BI124"/>
  <c r="Y125"/>
  <c r="AB125"/>
  <c r="AF125"/>
  <c r="AK125"/>
  <c r="AR125"/>
  <c r="BD125"/>
  <c r="BI125"/>
  <c r="AR126"/>
  <c r="BI126"/>
  <c r="Y127"/>
  <c r="AB127"/>
  <c r="AK127"/>
  <c r="AR127"/>
  <c r="BI127"/>
  <c r="Y128"/>
  <c r="AB128"/>
  <c r="AK128"/>
  <c r="AR128"/>
  <c r="BI128"/>
  <c r="Y129"/>
  <c r="AB129"/>
  <c r="AK129"/>
  <c r="AR129"/>
  <c r="BI129"/>
  <c r="Y130"/>
  <c r="AB130"/>
  <c r="AK130"/>
  <c r="AR130"/>
  <c r="BI130"/>
  <c r="Y131"/>
  <c r="AB131"/>
  <c r="AF131"/>
  <c r="AK131"/>
  <c r="AR131"/>
  <c r="BI131"/>
  <c r="Y132"/>
  <c r="AB132"/>
  <c r="AF132"/>
  <c r="AK132"/>
  <c r="AR132"/>
  <c r="BI132"/>
  <c r="Y133"/>
  <c r="AB133"/>
  <c r="AK133"/>
  <c r="AR133"/>
  <c r="BD133"/>
  <c r="BI133"/>
  <c r="Y134"/>
  <c r="AB134"/>
  <c r="AK134"/>
  <c r="AR134"/>
  <c r="BD134"/>
  <c r="BI134"/>
  <c r="Y135"/>
  <c r="AB135"/>
  <c r="AK135"/>
  <c r="AR135"/>
  <c r="BD135"/>
  <c r="BI135"/>
  <c r="Y136"/>
  <c r="AB136"/>
  <c r="AF136"/>
  <c r="AK136"/>
  <c r="AR136"/>
  <c r="BI136"/>
  <c r="Y137"/>
  <c r="AB137"/>
  <c r="AK137"/>
  <c r="AR137"/>
  <c r="BI137"/>
  <c r="Y138"/>
  <c r="AB138"/>
  <c r="AK138"/>
  <c r="AR138"/>
  <c r="BI138"/>
  <c r="Y139"/>
  <c r="AB139"/>
  <c r="AF139"/>
  <c r="AK139"/>
  <c r="AR139"/>
  <c r="BI139"/>
  <c r="Y140"/>
  <c r="AB140"/>
  <c r="AK140"/>
  <c r="AR140"/>
  <c r="BD140"/>
  <c r="BI140"/>
  <c r="AR141"/>
  <c r="BI141"/>
  <c r="Y142"/>
  <c r="AB142"/>
  <c r="AK142"/>
  <c r="AR142"/>
  <c r="BD142"/>
  <c r="BI142"/>
  <c r="Y143"/>
  <c r="AB143"/>
  <c r="AK143"/>
  <c r="AR143"/>
  <c r="BI143"/>
  <c r="Y144"/>
  <c r="AB144"/>
  <c r="AF144"/>
  <c r="AK144"/>
  <c r="AR144"/>
  <c r="BI144"/>
  <c r="Y145"/>
  <c r="AB145"/>
  <c r="AK145"/>
  <c r="AR145"/>
  <c r="BI145"/>
  <c r="X146"/>
  <c r="Y146"/>
  <c r="AB146"/>
  <c r="AK146"/>
  <c r="AR146"/>
  <c r="BD146"/>
  <c r="BI146"/>
  <c r="Y147"/>
  <c r="AB147"/>
  <c r="AK147"/>
  <c r="AR147"/>
  <c r="BD147"/>
  <c r="BI147"/>
  <c r="Y148"/>
  <c r="AB148"/>
  <c r="AF148"/>
  <c r="AK148"/>
  <c r="AR148"/>
  <c r="BD148"/>
  <c r="BI148"/>
  <c r="Y149"/>
  <c r="AB149"/>
  <c r="AK149"/>
  <c r="AR149"/>
  <c r="BD149"/>
  <c r="BI149"/>
  <c r="Y150"/>
  <c r="AB150"/>
  <c r="AK150"/>
  <c r="AR150"/>
  <c r="BD150"/>
  <c r="BI150"/>
  <c r="Y151"/>
  <c r="AB151"/>
  <c r="AK151"/>
  <c r="AR151"/>
  <c r="BI151"/>
  <c r="Y152"/>
  <c r="AK152"/>
  <c r="AR152"/>
  <c r="BD152"/>
  <c r="BI152"/>
  <c r="Y153"/>
  <c r="AB153"/>
  <c r="AF153"/>
  <c r="AK153"/>
  <c r="AR153"/>
  <c r="BI153"/>
  <c r="Y154"/>
  <c r="AB154"/>
  <c r="AF154"/>
  <c r="AK154"/>
  <c r="AR154"/>
  <c r="BI154"/>
  <c r="Y155"/>
  <c r="AB155"/>
  <c r="AF155"/>
  <c r="AK155"/>
  <c r="AR155"/>
  <c r="BD155"/>
  <c r="BI155"/>
  <c r="Y156"/>
  <c r="AB156"/>
  <c r="AF156"/>
  <c r="AK156"/>
  <c r="AR156"/>
  <c r="BI156"/>
  <c r="Y157"/>
  <c r="AB157"/>
  <c r="AK157"/>
  <c r="AR157"/>
  <c r="BD157"/>
  <c r="BI157"/>
  <c r="Y158"/>
  <c r="AB158"/>
  <c r="AK158"/>
  <c r="AR158"/>
  <c r="BI158"/>
  <c r="Y159"/>
  <c r="AB159"/>
  <c r="AF159"/>
  <c r="AK159"/>
  <c r="AR159"/>
  <c r="BI159"/>
  <c r="Y160"/>
  <c r="AB160"/>
  <c r="AK160"/>
  <c r="AR160"/>
  <c r="BD160"/>
  <c r="BI160"/>
  <c r="Y161"/>
  <c r="AB161"/>
  <c r="AF161"/>
  <c r="AK161"/>
  <c r="AR161"/>
  <c r="BI161"/>
  <c r="Y162"/>
  <c r="AB162"/>
  <c r="AF162"/>
  <c r="AK162"/>
  <c r="AR162"/>
  <c r="BD162"/>
  <c r="BI162"/>
  <c r="Y163"/>
  <c r="AB163"/>
  <c r="AK163"/>
  <c r="AR163"/>
  <c r="BD163"/>
  <c r="BI163"/>
  <c r="Y164"/>
  <c r="AB164"/>
  <c r="AK164"/>
  <c r="AR164"/>
  <c r="BD164"/>
  <c r="BI164"/>
  <c r="Y165"/>
  <c r="AB165"/>
  <c r="AK165"/>
  <c r="AR165"/>
  <c r="BD165"/>
  <c r="BI165"/>
  <c r="Y166"/>
  <c r="AB166"/>
  <c r="AF166"/>
  <c r="AK166"/>
  <c r="AR166"/>
  <c r="BI166"/>
  <c r="Y167"/>
  <c r="AB167"/>
  <c r="AK167"/>
  <c r="AR167"/>
  <c r="BD167"/>
  <c r="BI167"/>
  <c r="Y168"/>
  <c r="AB168"/>
  <c r="AF168"/>
  <c r="AK168"/>
  <c r="AR168"/>
  <c r="BI168"/>
  <c r="Y169"/>
  <c r="AB169"/>
  <c r="AK169"/>
  <c r="AR169"/>
  <c r="BI169"/>
  <c r="Y170"/>
  <c r="AB170"/>
  <c r="AF170"/>
  <c r="AK170"/>
  <c r="AR170"/>
  <c r="BD170"/>
  <c r="BI170"/>
  <c r="Y171"/>
  <c r="AB171"/>
  <c r="AK171"/>
  <c r="AR171"/>
  <c r="BD171"/>
  <c r="BI171"/>
  <c r="Y172"/>
  <c r="AB172"/>
  <c r="AK172"/>
  <c r="AR172"/>
  <c r="BI172"/>
  <c r="Y173"/>
  <c r="AB173"/>
  <c r="AF173"/>
  <c r="AK173"/>
  <c r="AR173"/>
  <c r="BI173"/>
  <c r="Y174"/>
  <c r="AB174"/>
  <c r="AK174"/>
  <c r="AR174"/>
  <c r="BI174"/>
  <c r="Y175"/>
  <c r="AB175"/>
  <c r="AK175"/>
  <c r="AR175"/>
  <c r="BI175"/>
  <c r="Y176"/>
  <c r="AB176"/>
  <c r="AK176"/>
  <c r="AR176"/>
  <c r="BI176"/>
  <c r="Y177"/>
  <c r="AB177"/>
  <c r="AK177"/>
  <c r="AR177"/>
  <c r="BD177"/>
  <c r="BI177"/>
  <c r="Y178"/>
  <c r="AB178"/>
  <c r="AK178"/>
  <c r="AR178"/>
  <c r="BI178"/>
  <c r="Y179"/>
  <c r="AB179"/>
  <c r="AK179"/>
  <c r="AR179"/>
  <c r="BI179"/>
  <c r="Y180"/>
  <c r="AB180"/>
  <c r="AK180"/>
  <c r="AR180"/>
  <c r="BI180"/>
  <c r="Y181"/>
  <c r="AB181"/>
  <c r="AK181"/>
  <c r="AR181"/>
  <c r="BD181"/>
  <c r="BI181"/>
  <c r="Y182"/>
  <c r="AB182"/>
  <c r="AK182"/>
  <c r="AR182"/>
  <c r="BD182"/>
  <c r="BI182"/>
  <c r="Y183"/>
  <c r="AB183"/>
  <c r="AK183"/>
  <c r="AR183"/>
  <c r="BD183"/>
  <c r="BI183"/>
  <c r="Y184"/>
  <c r="AB184"/>
  <c r="AK184"/>
  <c r="AR184"/>
  <c r="BI184"/>
  <c r="Y185"/>
  <c r="AB185"/>
  <c r="AF185"/>
  <c r="AK185"/>
  <c r="AR185"/>
  <c r="BD185"/>
  <c r="BI185"/>
  <c r="Y186"/>
  <c r="AB186"/>
  <c r="AK186"/>
  <c r="AR186"/>
  <c r="BI186"/>
  <c r="Y187"/>
  <c r="AB187"/>
  <c r="AK187"/>
  <c r="AR187"/>
  <c r="BD187"/>
  <c r="BI187"/>
  <c r="Y188"/>
  <c r="AB188"/>
  <c r="AF188"/>
  <c r="AK188"/>
  <c r="AR188"/>
  <c r="BI188"/>
  <c r="Y189"/>
  <c r="AK189"/>
  <c r="AR189"/>
  <c r="BD189"/>
  <c r="BI189"/>
  <c r="Y190"/>
  <c r="AK190"/>
  <c r="AR190"/>
  <c r="BD190"/>
  <c r="BI190"/>
  <c r="Y191"/>
  <c r="AB191"/>
  <c r="AF191"/>
  <c r="AK191"/>
  <c r="AR191"/>
  <c r="BD191"/>
  <c r="BI191"/>
  <c r="M192"/>
  <c r="Y192"/>
  <c r="AB192"/>
  <c r="AK192"/>
  <c r="AR192"/>
  <c r="BD192"/>
  <c r="BI192"/>
  <c r="Y193"/>
  <c r="AB193"/>
  <c r="AF193"/>
  <c r="AK193"/>
  <c r="AR193"/>
  <c r="BD193"/>
  <c r="BI193"/>
  <c r="Y194"/>
  <c r="AB194"/>
  <c r="AF194"/>
  <c r="AK194"/>
  <c r="AR194"/>
  <c r="BI194"/>
  <c r="Y195"/>
  <c r="AB195"/>
  <c r="AK195"/>
  <c r="AR195"/>
  <c r="BI195"/>
  <c r="Y196"/>
  <c r="AB196"/>
  <c r="AF196"/>
  <c r="AK196"/>
  <c r="AR196"/>
  <c r="BI196"/>
  <c r="Y197"/>
  <c r="AB197"/>
  <c r="AK197"/>
  <c r="AR197"/>
  <c r="BI197"/>
  <c r="Y198"/>
  <c r="AB198"/>
  <c r="AK198"/>
  <c r="AR198"/>
  <c r="BI198"/>
  <c r="Y199"/>
  <c r="AB199"/>
  <c r="AF199"/>
  <c r="AK199"/>
  <c r="AR199"/>
  <c r="BI199"/>
  <c r="Y200"/>
  <c r="AB200"/>
  <c r="AK200"/>
  <c r="AR200"/>
  <c r="BD200"/>
  <c r="BI200"/>
  <c r="Y201"/>
  <c r="AB201"/>
  <c r="AF201"/>
  <c r="AK201"/>
  <c r="AR201"/>
  <c r="BD201"/>
  <c r="BI201"/>
  <c r="Y202"/>
  <c r="AB202"/>
  <c r="AK202"/>
  <c r="AR202"/>
  <c r="BD202"/>
  <c r="BI202"/>
  <c r="Y203"/>
  <c r="AB203"/>
  <c r="AK203"/>
  <c r="AR203"/>
  <c r="BD203"/>
  <c r="BI203"/>
  <c r="Y204"/>
  <c r="AB204"/>
  <c r="AF204"/>
  <c r="AK204"/>
  <c r="AR204"/>
  <c r="BI204"/>
</calcChain>
</file>

<file path=xl/sharedStrings.xml><?xml version="1.0" encoding="utf-8"?>
<sst xmlns="http://schemas.openxmlformats.org/spreadsheetml/2006/main" count="2291" uniqueCount="723">
  <si>
    <t/>
  </si>
  <si>
    <t xml:space="preserve">            EMPLOYEE EXPENSES</t>
  </si>
  <si>
    <t xml:space="preserve">        SECURED </t>
  </si>
  <si>
    <t xml:space="preserve"> CHAPTER  13  STANDING TRUSTEE</t>
  </si>
  <si>
    <t xml:space="preserve"> Marion</t>
  </si>
  <si>
    <t xml:space="preserve"> PYMTS</t>
  </si>
  <si>
    <t>#CASES</t>
  </si>
  <si>
    <t>$ FEES</t>
  </si>
  <si>
    <t>% EXP.</t>
  </si>
  <si>
    <t>(NON-UST)</t>
  </si>
  <si>
    <t>_NBSTARTMACRO</t>
  </si>
  <si>
    <t>{FILESAVE}</t>
  </si>
  <si>
    <t>&gt; 60 MOS.</t>
  </si>
  <si>
    <t>0%</t>
  </si>
  <si>
    <t>1-39%</t>
  </si>
  <si>
    <t>40%-69%</t>
  </si>
  <si>
    <t>503(b)</t>
  </si>
  <si>
    <t>70% or more</t>
  </si>
  <si>
    <t>Aberdeen</t>
  </si>
  <si>
    <t>ACCTG</t>
  </si>
  <si>
    <t>ACCUM.</t>
  </si>
  <si>
    <t>ACTIVE</t>
  </si>
  <si>
    <t>ACTUAL</t>
  </si>
  <si>
    <t>ADJUST.</t>
  </si>
  <si>
    <t>Aikman</t>
  </si>
  <si>
    <t>AK</t>
  </si>
  <si>
    <t>Akron</t>
  </si>
  <si>
    <t>Alaska</t>
  </si>
  <si>
    <t>Albany</t>
  </si>
  <si>
    <t>Albert</t>
  </si>
  <si>
    <t>Albuquerque</t>
  </si>
  <si>
    <t>Alexandria</t>
  </si>
  <si>
    <t>ALL OTHER</t>
  </si>
  <si>
    <t>ALLOC.\</t>
  </si>
  <si>
    <t>Amherst</t>
  </si>
  <si>
    <t>Amrane</t>
  </si>
  <si>
    <t>Anabelle</t>
  </si>
  <si>
    <t>Anchorage</t>
  </si>
  <si>
    <t>Anderson</t>
  </si>
  <si>
    <t>Andrea</t>
  </si>
  <si>
    <t>Andres'</t>
  </si>
  <si>
    <t>Ann</t>
  </si>
  <si>
    <t>Annette</t>
  </si>
  <si>
    <t>Anthony</t>
  </si>
  <si>
    <t>APPLIED</t>
  </si>
  <si>
    <t>APPROVED</t>
  </si>
  <si>
    <t>APPT.</t>
  </si>
  <si>
    <t>AR</t>
  </si>
  <si>
    <t>Arizona</t>
  </si>
  <si>
    <t>Arkansas</t>
  </si>
  <si>
    <t>ARREARAGES</t>
  </si>
  <si>
    <t>Atlanta</t>
  </si>
  <si>
    <t>ATTY'S</t>
  </si>
  <si>
    <t>Augusta</t>
  </si>
  <si>
    <t>Austin</t>
  </si>
  <si>
    <t>AVG % FEE</t>
  </si>
  <si>
    <t>AWARDS</t>
  </si>
  <si>
    <t>AZ</t>
  </si>
  <si>
    <t>BALANCE</t>
  </si>
  <si>
    <t>Balboa</t>
  </si>
  <si>
    <t>Baltimore</t>
  </si>
  <si>
    <t>Banks</t>
  </si>
  <si>
    <t>Barkley</t>
  </si>
  <si>
    <t>Barkley, Jr.</t>
  </si>
  <si>
    <t>Barnee</t>
  </si>
  <si>
    <t>Barnesville</t>
  </si>
  <si>
    <t>Baton Rouge</t>
  </si>
  <si>
    <t>Baxter</t>
  </si>
  <si>
    <t>Beaulieu</t>
  </si>
  <si>
    <t>BEFORE ADJ.</t>
  </si>
  <si>
    <t>Bekofske</t>
  </si>
  <si>
    <t>Bell</t>
  </si>
  <si>
    <t>Bellville</t>
  </si>
  <si>
    <t>BENEFITS</t>
  </si>
  <si>
    <t>Benton</t>
  </si>
  <si>
    <t>Bernie</t>
  </si>
  <si>
    <t xml:space="preserve">Billingslea </t>
  </si>
  <si>
    <t>Black, Jr.</t>
  </si>
  <si>
    <t>Boise</t>
  </si>
  <si>
    <t>Bolenbaugh</t>
  </si>
  <si>
    <t>Bone</t>
  </si>
  <si>
    <t>Bonney</t>
  </si>
  <si>
    <t>BOOKKEEP/</t>
  </si>
  <si>
    <t>Boston</t>
  </si>
  <si>
    <t>Boudloche</t>
  </si>
  <si>
    <t>Bowers</t>
  </si>
  <si>
    <t>Bowie</t>
  </si>
  <si>
    <t>Boyajian</t>
  </si>
  <si>
    <t>Bracher</t>
  </si>
  <si>
    <t>Bradenton</t>
  </si>
  <si>
    <t>Branigan (6 mos.)</t>
  </si>
  <si>
    <t>Brett</t>
  </si>
  <si>
    <t>Bristol</t>
  </si>
  <si>
    <t>BROKEN OUT</t>
  </si>
  <si>
    <t>Bronitsky</t>
  </si>
  <si>
    <t>Brothers</t>
  </si>
  <si>
    <t>Brown</t>
  </si>
  <si>
    <t>Brunner</t>
  </si>
  <si>
    <t>Brunswick</t>
  </si>
  <si>
    <t>Buffalo</t>
  </si>
  <si>
    <t>Burchard, Jr.</t>
  </si>
  <si>
    <t xml:space="preserve">Burden </t>
  </si>
  <si>
    <t>Burks</t>
  </si>
  <si>
    <t>Burris (8 mos.)</t>
  </si>
  <si>
    <t>C. Barry</t>
  </si>
  <si>
    <t>C. Kenneth</t>
  </si>
  <si>
    <t>CA</t>
  </si>
  <si>
    <t>California</t>
  </si>
  <si>
    <t>Camille</t>
  </si>
  <si>
    <t>Campbell</t>
  </si>
  <si>
    <t xml:space="preserve">CANNOT BE </t>
  </si>
  <si>
    <t>Canton</t>
  </si>
  <si>
    <t>Carl</t>
  </si>
  <si>
    <t>Carol</t>
  </si>
  <si>
    <t>Carrion</t>
  </si>
  <si>
    <t>Carroll (6 mos.)</t>
  </si>
  <si>
    <t>CASES</t>
  </si>
  <si>
    <t>CASH TO</t>
  </si>
  <si>
    <t>Celli</t>
  </si>
  <si>
    <t>Central</t>
  </si>
  <si>
    <t>Chael</t>
  </si>
  <si>
    <t>Charles</t>
  </si>
  <si>
    <t>Charleston</t>
  </si>
  <si>
    <t>Charlottesville</t>
  </si>
  <si>
    <t>Chattanooga</t>
  </si>
  <si>
    <t>Chatterton</t>
  </si>
  <si>
    <t>Cherry Hill</t>
  </si>
  <si>
    <t>Cheyenne</t>
  </si>
  <si>
    <t>Chicago</t>
  </si>
  <si>
    <t>CHILD PMTS</t>
  </si>
  <si>
    <t>CHILD SUPPORT</t>
  </si>
  <si>
    <t>Chrystler (6 months)</t>
  </si>
  <si>
    <t>Cincinnati</t>
  </si>
  <si>
    <t>Cindy</t>
  </si>
  <si>
    <t>CITY</t>
  </si>
  <si>
    <t>CLAIMS</t>
  </si>
  <si>
    <t>Clark</t>
  </si>
  <si>
    <t>Cleveland</t>
  </si>
  <si>
    <t>CLOSED</t>
  </si>
  <si>
    <t>CO</t>
  </si>
  <si>
    <t>Coeur D'Alene</t>
  </si>
  <si>
    <t>Cohen</t>
  </si>
  <si>
    <t>Colorado</t>
  </si>
  <si>
    <t>Columbia</t>
  </si>
  <si>
    <t>Columbus</t>
  </si>
  <si>
    <t>COMPLETE</t>
  </si>
  <si>
    <t>COMP'N</t>
  </si>
  <si>
    <t>Compton</t>
  </si>
  <si>
    <t>COMPUTER</t>
  </si>
  <si>
    <t>CON-</t>
  </si>
  <si>
    <t>Connecticut</t>
  </si>
  <si>
    <t>CONSTR.</t>
  </si>
  <si>
    <t>CONTRIBUTION</t>
  </si>
  <si>
    <t>CONVERT.</t>
  </si>
  <si>
    <t>Coop</t>
  </si>
  <si>
    <t>Corpus Christi</t>
  </si>
  <si>
    <t>Cosby</t>
  </si>
  <si>
    <t>Countryman</t>
  </si>
  <si>
    <t>Crawford</t>
  </si>
  <si>
    <t>CRED'R</t>
  </si>
  <si>
    <t>CT</t>
  </si>
  <si>
    <t>Curry</t>
  </si>
  <si>
    <t>Cynthia</t>
  </si>
  <si>
    <t>Dale</t>
  </si>
  <si>
    <t>Dallas</t>
  </si>
  <si>
    <t>Dan</t>
  </si>
  <si>
    <t>Daniel</t>
  </si>
  <si>
    <t>Danielson</t>
  </si>
  <si>
    <t>David</t>
  </si>
  <si>
    <t>Davidson</t>
  </si>
  <si>
    <t>Davis</t>
  </si>
  <si>
    <t>DC</t>
  </si>
  <si>
    <t>DE</t>
  </si>
  <si>
    <t>Debra</t>
  </si>
  <si>
    <t xml:space="preserve">DEBT </t>
  </si>
  <si>
    <t>DEBTOR</t>
  </si>
  <si>
    <t>Decker</t>
  </si>
  <si>
    <t>DEDUCT.</t>
  </si>
  <si>
    <t>DEFICIT</t>
  </si>
  <si>
    <t>DeHart, III</t>
  </si>
  <si>
    <t>Delaware</t>
  </si>
  <si>
    <t>Denise</t>
  </si>
  <si>
    <t>Denver</t>
  </si>
  <si>
    <t>Derham-Burk</t>
  </si>
  <si>
    <t>DeRosa</t>
  </si>
  <si>
    <t>Des Moines</t>
  </si>
  <si>
    <t>Detroit</t>
  </si>
  <si>
    <t>Devin</t>
  </si>
  <si>
    <t>Dianne</t>
  </si>
  <si>
    <t xml:space="preserve">Diaz </t>
  </si>
  <si>
    <t>DiSalle</t>
  </si>
  <si>
    <t>DISBURS</t>
  </si>
  <si>
    <t>DISBURSE-</t>
  </si>
  <si>
    <t>DISBURSE.</t>
  </si>
  <si>
    <t>DISCHARGE</t>
  </si>
  <si>
    <t>DISMISS.</t>
  </si>
  <si>
    <t>DISTRICT</t>
  </si>
  <si>
    <t>District of Columbia</t>
  </si>
  <si>
    <t>Donald</t>
  </si>
  <si>
    <t>Doreen</t>
  </si>
  <si>
    <t>Dowell</t>
  </si>
  <si>
    <t xml:space="preserve">Drewes </t>
  </si>
  <si>
    <t>Drummond</t>
  </si>
  <si>
    <t>Dunbar</t>
  </si>
  <si>
    <t>Dunivent</t>
  </si>
  <si>
    <t>Eastern</t>
  </si>
  <si>
    <t>Eastern and Western</t>
  </si>
  <si>
    <t>Eck</t>
  </si>
  <si>
    <t>Edward</t>
  </si>
  <si>
    <t>Edwina</t>
  </si>
  <si>
    <t>El Paso</t>
  </si>
  <si>
    <t>Elaine</t>
  </si>
  <si>
    <t>Elizabeth</t>
  </si>
  <si>
    <t>Ellen</t>
  </si>
  <si>
    <t>Emerson, Jr.</t>
  </si>
  <si>
    <t>EMPLOYER</t>
  </si>
  <si>
    <t>END FY00</t>
  </si>
  <si>
    <t>ENDING</t>
  </si>
  <si>
    <t>Englewood</t>
  </si>
  <si>
    <t>Enmark</t>
  </si>
  <si>
    <t>EQUIP/</t>
  </si>
  <si>
    <t>Eugene</t>
  </si>
  <si>
    <t>Evansville</t>
  </si>
  <si>
    <t>EXCESS</t>
  </si>
  <si>
    <t xml:space="preserve">EXP. FUND </t>
  </si>
  <si>
    <t>EXPENSE</t>
  </si>
  <si>
    <t>EXPENSES</t>
  </si>
  <si>
    <t>Fairfield</t>
  </si>
  <si>
    <t>Fairway</t>
  </si>
  <si>
    <t>Fargo</t>
  </si>
  <si>
    <t>Farrell</t>
  </si>
  <si>
    <t xml:space="preserve">Fessenden </t>
  </si>
  <si>
    <t>FILED</t>
  </si>
  <si>
    <t>Fink</t>
  </si>
  <si>
    <t>FIRST NAME</t>
  </si>
  <si>
    <t>Fitzgerald, K.M.</t>
  </si>
  <si>
    <t>Fitzgerald, L.D.</t>
  </si>
  <si>
    <t>FL</t>
  </si>
  <si>
    <t>Flint</t>
  </si>
  <si>
    <t>Florida</t>
  </si>
  <si>
    <t xml:space="preserve">Forsythe </t>
  </si>
  <si>
    <t>Fort Hialeah</t>
  </si>
  <si>
    <t>Fort Wayne</t>
  </si>
  <si>
    <t>Fort Worth</t>
  </si>
  <si>
    <t>Foster City</t>
  </si>
  <si>
    <t>Frank</t>
  </si>
  <si>
    <t>Fred</t>
  </si>
  <si>
    <t>Frederick</t>
  </si>
  <si>
    <t>Fresno</t>
  </si>
  <si>
    <t>Ft. Lauderdale</t>
  </si>
  <si>
    <t>FURN</t>
  </si>
  <si>
    <t>FY  2000  AUDITED ANNUAL REPORTS</t>
  </si>
  <si>
    <t>GA</t>
  </si>
  <si>
    <t>Gallo</t>
  </si>
  <si>
    <t>Garden City</t>
  </si>
  <si>
    <t>Gary</t>
  </si>
  <si>
    <t>Geekie</t>
  </si>
  <si>
    <t>Gelberg</t>
  </si>
  <si>
    <t>George</t>
  </si>
  <si>
    <t>Georgia</t>
  </si>
  <si>
    <t>Gerald</t>
  </si>
  <si>
    <t>Germeraad</t>
  </si>
  <si>
    <t>Glen Burnie</t>
  </si>
  <si>
    <t>Glenn</t>
  </si>
  <si>
    <t>Goldberger (7 mos.)</t>
  </si>
  <si>
    <t>Goodwin (9 mos.)</t>
  </si>
  <si>
    <t>Grand Rapids</t>
  </si>
  <si>
    <t>Great Falls</t>
  </si>
  <si>
    <t>Greenville</t>
  </si>
  <si>
    <t>Greer (8 mos.)</t>
  </si>
  <si>
    <t>Griffin</t>
  </si>
  <si>
    <t>Gross</t>
  </si>
  <si>
    <t>GROSS</t>
  </si>
  <si>
    <t>Gulfport</t>
  </si>
  <si>
    <t>Guy/Stevenson</t>
  </si>
  <si>
    <t>Gwendolyn</t>
  </si>
  <si>
    <t>H. Michael</t>
  </si>
  <si>
    <t>Hamilton</t>
  </si>
  <si>
    <t>Hamlin (6 mos.)</t>
  </si>
  <si>
    <t>Hardeman (5 mos.)</t>
  </si>
  <si>
    <t>HARDSHIP</t>
  </si>
  <si>
    <t>Harold</t>
  </si>
  <si>
    <t>Harrisburg</t>
  </si>
  <si>
    <t>Hart</t>
  </si>
  <si>
    <t>Hartford</t>
  </si>
  <si>
    <t>Hattiesburg</t>
  </si>
  <si>
    <t>Hawaii</t>
  </si>
  <si>
    <t>Hayward</t>
  </si>
  <si>
    <t>Heitkamp</t>
  </si>
  <si>
    <t>Helen</t>
  </si>
  <si>
    <t>Hendren, Jr.</t>
  </si>
  <si>
    <t>Henley, Jr. (7 mos.)</t>
  </si>
  <si>
    <t>Henry</t>
  </si>
  <si>
    <t>Herkert</t>
  </si>
  <si>
    <t>HI</t>
  </si>
  <si>
    <t>Hildebrand, III</t>
  </si>
  <si>
    <t>Holub</t>
  </si>
  <si>
    <t>Honolulu</t>
  </si>
  <si>
    <t>Hope</t>
  </si>
  <si>
    <t>Houston</t>
  </si>
  <si>
    <t>Howard</t>
  </si>
  <si>
    <t>Howe</t>
  </si>
  <si>
    <t>Hu</t>
  </si>
  <si>
    <t>Huckaby (7 months)</t>
  </si>
  <si>
    <t>Huntington</t>
  </si>
  <si>
    <t>Hyman</t>
  </si>
  <si>
    <t>IA</t>
  </si>
  <si>
    <t>ID</t>
  </si>
  <si>
    <t>Idaho</t>
  </si>
  <si>
    <t>IL</t>
  </si>
  <si>
    <t>Illinois</t>
  </si>
  <si>
    <t>IN</t>
  </si>
  <si>
    <t>IN EXCESS</t>
  </si>
  <si>
    <t>Indiana</t>
  </si>
  <si>
    <t>Indianapolis</t>
  </si>
  <si>
    <t>INSURANCE</t>
  </si>
  <si>
    <t>INTEREST</t>
  </si>
  <si>
    <t>Iowa</t>
  </si>
  <si>
    <t>Isabel</t>
  </si>
  <si>
    <t>Itule</t>
  </si>
  <si>
    <t>J. Glenwood</t>
  </si>
  <si>
    <t>J.C.</t>
  </si>
  <si>
    <t>Jackson</t>
  </si>
  <si>
    <t>Jacksonville</t>
  </si>
  <si>
    <t>James</t>
  </si>
  <si>
    <t>Jan</t>
  </si>
  <si>
    <t>Janna</t>
  </si>
  <si>
    <t>Jasmine</t>
  </si>
  <si>
    <t>Jeffery</t>
  </si>
  <si>
    <t>Jensen</t>
  </si>
  <si>
    <t>Jerome</t>
  </si>
  <si>
    <t>Jo</t>
  </si>
  <si>
    <t>Joel</t>
  </si>
  <si>
    <t>John</t>
  </si>
  <si>
    <t>Johnson</t>
  </si>
  <si>
    <t xml:space="preserve">Johnson </t>
  </si>
  <si>
    <t>Johnson (Reno - 5 mos)</t>
  </si>
  <si>
    <t>Jones</t>
  </si>
  <si>
    <t>Jose</t>
  </si>
  <si>
    <t>Joseph</t>
  </si>
  <si>
    <t>Joy</t>
  </si>
  <si>
    <t>K. Michael</t>
  </si>
  <si>
    <t>Kalamazoo</t>
  </si>
  <si>
    <t>Kansas</t>
  </si>
  <si>
    <t>Kansas City</t>
  </si>
  <si>
    <t>Karla</t>
  </si>
  <si>
    <t>Kathleen</t>
  </si>
  <si>
    <t>Kearney</t>
  </si>
  <si>
    <t>Keith</t>
  </si>
  <si>
    <t>Keller</t>
  </si>
  <si>
    <t>Kelley</t>
  </si>
  <si>
    <t>Kentucky</t>
  </si>
  <si>
    <t>Kerney</t>
  </si>
  <si>
    <t>Kerns</t>
  </si>
  <si>
    <t>Kevin</t>
  </si>
  <si>
    <t>King</t>
  </si>
  <si>
    <t>Knoxville</t>
  </si>
  <si>
    <t>Krispen</t>
  </si>
  <si>
    <t>Kristen</t>
  </si>
  <si>
    <t>Krommenhoek</t>
  </si>
  <si>
    <t>KS</t>
  </si>
  <si>
    <t>KY</t>
  </si>
  <si>
    <t>L.D.</t>
  </si>
  <si>
    <t>LA</t>
  </si>
  <si>
    <t>LaBarge, Jr.</t>
  </si>
  <si>
    <t>Lackey</t>
  </si>
  <si>
    <t>Lafayette</t>
  </si>
  <si>
    <t>Lansing</t>
  </si>
  <si>
    <t>Laporte</t>
  </si>
  <si>
    <t>Larry</t>
  </si>
  <si>
    <t>Las Vegas</t>
  </si>
  <si>
    <t>LAST NAME</t>
  </si>
  <si>
    <t>Laughlin</t>
  </si>
  <si>
    <t>Laurel</t>
  </si>
  <si>
    <t>Laurence</t>
  </si>
  <si>
    <t>Laurie</t>
  </si>
  <si>
    <t>Lawrence</t>
  </si>
  <si>
    <t>Ledford (15 mos.)</t>
  </si>
  <si>
    <t>Leigh</t>
  </si>
  <si>
    <t>Levy (3 month audit)</t>
  </si>
  <si>
    <t>Lexington</t>
  </si>
  <si>
    <t>Lisle</t>
  </si>
  <si>
    <t>Locke</t>
  </si>
  <si>
    <t>Loheit</t>
  </si>
  <si>
    <t>Long</t>
  </si>
  <si>
    <t>Lonnie</t>
  </si>
  <si>
    <t>Lopez</t>
  </si>
  <si>
    <t>Los Angeles</t>
  </si>
  <si>
    <t>Louis</t>
  </si>
  <si>
    <t>Louisiana</t>
  </si>
  <si>
    <t>Louisville</t>
  </si>
  <si>
    <t>Lubbock</t>
  </si>
  <si>
    <t>Lydia</t>
  </si>
  <si>
    <t>Lynchburg</t>
  </si>
  <si>
    <t>M. Nelson</t>
  </si>
  <si>
    <t>M. Terre</t>
  </si>
  <si>
    <t>MA</t>
  </si>
  <si>
    <t>Macco</t>
  </si>
  <si>
    <t>Macon</t>
  </si>
  <si>
    <t>Madison</t>
  </si>
  <si>
    <t>Maine</t>
  </si>
  <si>
    <t>Mamie</t>
  </si>
  <si>
    <t>Manasquan</t>
  </si>
  <si>
    <t>Margaret</t>
  </si>
  <si>
    <t>Margo</t>
  </si>
  <si>
    <t>Marianne</t>
  </si>
  <si>
    <t>Mark</t>
  </si>
  <si>
    <t>Martha</t>
  </si>
  <si>
    <t>Mary</t>
  </si>
  <si>
    <t>Maryland</t>
  </si>
  <si>
    <t>Massachusetts</t>
  </si>
  <si>
    <t>McDonald</t>
  </si>
  <si>
    <t>McDonald, Jr.</t>
  </si>
  <si>
    <t>McRoberts</t>
  </si>
  <si>
    <t>MD</t>
  </si>
  <si>
    <t>ME</t>
  </si>
  <si>
    <t>Memphis</t>
  </si>
  <si>
    <t>MENTS</t>
  </si>
  <si>
    <t>Merrillville</t>
  </si>
  <si>
    <t>Metairie</t>
  </si>
  <si>
    <t>Meyer</t>
  </si>
  <si>
    <t>Meyer (Modesto - 4mos)</t>
  </si>
  <si>
    <t>Meyer (Santa Rosa)</t>
  </si>
  <si>
    <t>MI</t>
  </si>
  <si>
    <t>Michael</t>
  </si>
  <si>
    <t>Michigan</t>
  </si>
  <si>
    <t>Michigan City</t>
  </si>
  <si>
    <t>Middle</t>
  </si>
  <si>
    <t>Midland</t>
  </si>
  <si>
    <t>Miller-Shlakman (3 mos.)</t>
  </si>
  <si>
    <t>Milwaukee</t>
  </si>
  <si>
    <t>Mineola</t>
  </si>
  <si>
    <t>Minneapolis</t>
  </si>
  <si>
    <t>Minnesota</t>
  </si>
  <si>
    <t>MIS-</t>
  </si>
  <si>
    <t>Mishler</t>
  </si>
  <si>
    <t>Mississippi</t>
  </si>
  <si>
    <t>Missouri</t>
  </si>
  <si>
    <t>MN</t>
  </si>
  <si>
    <t>MO</t>
  </si>
  <si>
    <t>Modesto</t>
  </si>
  <si>
    <t>Mogavero</t>
  </si>
  <si>
    <t>Molly</t>
  </si>
  <si>
    <t>Montana</t>
  </si>
  <si>
    <t>Morin (3 month audit)</t>
  </si>
  <si>
    <t>Morris</t>
  </si>
  <si>
    <t>MORTGAGE</t>
  </si>
  <si>
    <t>MORTGAGE/</t>
  </si>
  <si>
    <t>MS</t>
  </si>
  <si>
    <t>MT</t>
  </si>
  <si>
    <t>Musgrave, II</t>
  </si>
  <si>
    <t>Muskogee</t>
  </si>
  <si>
    <t>Myron</t>
  </si>
  <si>
    <t>N.A.</t>
  </si>
  <si>
    <t>N.A.A</t>
  </si>
  <si>
    <t>N/A</t>
  </si>
  <si>
    <t>Nancy</t>
  </si>
  <si>
    <t>Nashville</t>
  </si>
  <si>
    <t>NATIONAL AVGS.</t>
  </si>
  <si>
    <t>NATIONAL TOTALS</t>
  </si>
  <si>
    <t>ND</t>
  </si>
  <si>
    <t>NE</t>
  </si>
  <si>
    <t>Neal</t>
  </si>
  <si>
    <t>Nebraska</t>
  </si>
  <si>
    <t>Nevada</t>
  </si>
  <si>
    <t>NEW</t>
  </si>
  <si>
    <t>New Hampshire</t>
  </si>
  <si>
    <t>New Jersey</t>
  </si>
  <si>
    <t>New Mexico</t>
  </si>
  <si>
    <t>New York</t>
  </si>
  <si>
    <t>NH</t>
  </si>
  <si>
    <t>Niklas</t>
  </si>
  <si>
    <t>NJ</t>
  </si>
  <si>
    <t>NM</t>
  </si>
  <si>
    <t>NO</t>
  </si>
  <si>
    <t>NON-FEE</t>
  </si>
  <si>
    <t>North Dakota and Minnesota</t>
  </si>
  <si>
    <t>North Little Rock</t>
  </si>
  <si>
    <t>Northern</t>
  </si>
  <si>
    <t>Northern and Southern</t>
  </si>
  <si>
    <t>Norwood</t>
  </si>
  <si>
    <t>NOTICING</t>
  </si>
  <si>
    <t>NV</t>
  </si>
  <si>
    <t>NY</t>
  </si>
  <si>
    <t>O'Cheskey</t>
  </si>
  <si>
    <t>O'Connell</t>
  </si>
  <si>
    <t>O'Donnell</t>
  </si>
  <si>
    <t>OF 17%</t>
  </si>
  <si>
    <t>OFFICE</t>
  </si>
  <si>
    <t>OH</t>
  </si>
  <si>
    <t>Ohio</t>
  </si>
  <si>
    <t>OK</t>
  </si>
  <si>
    <t>Oklahoma</t>
  </si>
  <si>
    <t>Oklahoma City</t>
  </si>
  <si>
    <t>Olson</t>
  </si>
  <si>
    <t>Omaha</t>
  </si>
  <si>
    <t xml:space="preserve">ONGOING </t>
  </si>
  <si>
    <t>OPER.</t>
  </si>
  <si>
    <t>OR</t>
  </si>
  <si>
    <t>Orange</t>
  </si>
  <si>
    <t>Oregon</t>
  </si>
  <si>
    <t>Oshkosh</t>
  </si>
  <si>
    <t>OTHER</t>
  </si>
  <si>
    <t>PA</t>
  </si>
  <si>
    <t>Pappalardo</t>
  </si>
  <si>
    <t>Paris</t>
  </si>
  <si>
    <t>Parrish</t>
  </si>
  <si>
    <t>Paul</t>
  </si>
  <si>
    <t>PAYABLE</t>
  </si>
  <si>
    <t>PAYMENTS</t>
  </si>
  <si>
    <t>PAYOUT TO NONPRIORITY UNSECUREDS - CONVERT</t>
  </si>
  <si>
    <t>PAYOUT TO NONPRIORITY UNSECUREDS - DISMISS</t>
  </si>
  <si>
    <t>PAYOUT TO NONPRIORITY UNSECUREDS - PLAN COMPLETE</t>
  </si>
  <si>
    <t>Peake</t>
  </si>
  <si>
    <t>Pees</t>
  </si>
  <si>
    <t>Pendleton</t>
  </si>
  <si>
    <t>Pennsylvania</t>
  </si>
  <si>
    <t>Peoria</t>
  </si>
  <si>
    <t>Peter</t>
  </si>
  <si>
    <t>Petersburg</t>
  </si>
  <si>
    <t>Philadelphia</t>
  </si>
  <si>
    <t>Phoenix</t>
  </si>
  <si>
    <t>Phyllis</t>
  </si>
  <si>
    <t>Pittsburgh</t>
  </si>
  <si>
    <t>PLAN</t>
  </si>
  <si>
    <t>Plano</t>
  </si>
  <si>
    <t>Pocatello</t>
  </si>
  <si>
    <t>Portland</t>
  </si>
  <si>
    <t>Portsmouth</t>
  </si>
  <si>
    <t>POSTAGE/</t>
  </si>
  <si>
    <t>Powers</t>
  </si>
  <si>
    <t>PR</t>
  </si>
  <si>
    <t>PRIORITY</t>
  </si>
  <si>
    <t>PRIORITY DEBT</t>
  </si>
  <si>
    <t>Providence</t>
  </si>
  <si>
    <t>Puerto Rico</t>
  </si>
  <si>
    <t>Puerto Rico &amp; Virgin Islands</t>
  </si>
  <si>
    <t>PURCHASE</t>
  </si>
  <si>
    <t>PYMTS.</t>
  </si>
  <si>
    <t>Rakozy</t>
  </si>
  <si>
    <t>Ralph</t>
  </si>
  <si>
    <t>Ramon</t>
  </si>
  <si>
    <t>RATIO</t>
  </si>
  <si>
    <t>Ray</t>
  </si>
  <si>
    <t>Raymond</t>
  </si>
  <si>
    <t>Reading</t>
  </si>
  <si>
    <t>RECEIPTS</t>
  </si>
  <si>
    <t>REFUNDS</t>
  </si>
  <si>
    <t>REG</t>
  </si>
  <si>
    <t>Regina</t>
  </si>
  <si>
    <t>Reiber</t>
  </si>
  <si>
    <t>Reigle</t>
  </si>
  <si>
    <t>RELATE/</t>
  </si>
  <si>
    <t>RELATED</t>
  </si>
  <si>
    <t>Reno</t>
  </si>
  <si>
    <t>RENT AND</t>
  </si>
  <si>
    <t>RENTAL</t>
  </si>
  <si>
    <t>REOPEN.</t>
  </si>
  <si>
    <t>Rhode Island</t>
  </si>
  <si>
    <t>RI</t>
  </si>
  <si>
    <t>Richard</t>
  </si>
  <si>
    <t>Richmond</t>
  </si>
  <si>
    <t>Ridgway</t>
  </si>
  <si>
    <t>Riverside</t>
  </si>
  <si>
    <t>Roanoke</t>
  </si>
  <si>
    <t>Robert</t>
  </si>
  <si>
    <t>Robin</t>
  </si>
  <si>
    <t>Rochester</t>
  </si>
  <si>
    <t>Rock Island</t>
  </si>
  <si>
    <t>Rockford</t>
  </si>
  <si>
    <t>Rockville Centre</t>
  </si>
  <si>
    <t>Rodgers</t>
  </si>
  <si>
    <t>Rodney</t>
  </si>
  <si>
    <t>Rodriguez</t>
  </si>
  <si>
    <t>Rojas</t>
  </si>
  <si>
    <t>Ronda</t>
  </si>
  <si>
    <t>Rosen</t>
  </si>
  <si>
    <t>Rosenthal</t>
  </si>
  <si>
    <t>Royce</t>
  </si>
  <si>
    <t>Ruskin</t>
  </si>
  <si>
    <t>Russell</t>
  </si>
  <si>
    <t>Sacramento</t>
  </si>
  <si>
    <t>Saginaw</t>
  </si>
  <si>
    <t>SALARIES</t>
  </si>
  <si>
    <t>Sally</t>
  </si>
  <si>
    <t>Salt Lake City</t>
  </si>
  <si>
    <t>San Antonio</t>
  </si>
  <si>
    <t>San Diego</t>
  </si>
  <si>
    <t>San Fernando</t>
  </si>
  <si>
    <t>San Juan</t>
  </si>
  <si>
    <t>Sanford</t>
  </si>
  <si>
    <t>Santa Rosa</t>
  </si>
  <si>
    <t>Santoro</t>
  </si>
  <si>
    <t>Sapir</t>
  </si>
  <si>
    <t>Savage</t>
  </si>
  <si>
    <t>Savannah</t>
  </si>
  <si>
    <t>SC</t>
  </si>
  <si>
    <t>Scura</t>
  </si>
  <si>
    <t>SD</t>
  </si>
  <si>
    <t>Seattle</t>
  </si>
  <si>
    <t>SECURED DEBT</t>
  </si>
  <si>
    <t>Sensenich</t>
  </si>
  <si>
    <t>SERVICES</t>
  </si>
  <si>
    <t>Seymour</t>
  </si>
  <si>
    <t>Sharon</t>
  </si>
  <si>
    <t>Shreveport</t>
  </si>
  <si>
    <t>Sidney/Beverly</t>
  </si>
  <si>
    <t>Simmons</t>
  </si>
  <si>
    <t>Skehen</t>
  </si>
  <si>
    <t>Skelton</t>
  </si>
  <si>
    <t>Smith</t>
  </si>
  <si>
    <t>Smith, K.</t>
  </si>
  <si>
    <t>Smith, T.</t>
  </si>
  <si>
    <t xml:space="preserve">Solomon </t>
  </si>
  <si>
    <t>South Bend</t>
  </si>
  <si>
    <t>South Carolina</t>
  </si>
  <si>
    <t>South Dakota</t>
  </si>
  <si>
    <t>Southern</t>
  </si>
  <si>
    <t>Southern/Northern</t>
  </si>
  <si>
    <t>Southfield</t>
  </si>
  <si>
    <t>Sparkman</t>
  </si>
  <si>
    <t>Spokane</t>
  </si>
  <si>
    <t>St. Louis</t>
  </si>
  <si>
    <t>START '00</t>
  </si>
  <si>
    <t>STATE</t>
  </si>
  <si>
    <t>Stearns</t>
  </si>
  <si>
    <t>Stephenson, Jr.</t>
  </si>
  <si>
    <t>Sterling</t>
  </si>
  <si>
    <t>Stevenson</t>
  </si>
  <si>
    <t>Stewart</t>
  </si>
  <si>
    <t>Still</t>
  </si>
  <si>
    <t>Strickler</t>
  </si>
  <si>
    <t>Stuart</t>
  </si>
  <si>
    <t>SULTING</t>
  </si>
  <si>
    <t>Sumski</t>
  </si>
  <si>
    <t>SUPPLIES</t>
  </si>
  <si>
    <t>Swimelar</t>
  </si>
  <si>
    <t>Sylvia</t>
  </si>
  <si>
    <t>Syracuse</t>
  </si>
  <si>
    <t>Tallahassee</t>
  </si>
  <si>
    <t>Tammy</t>
  </si>
  <si>
    <t>Tedd</t>
  </si>
  <si>
    <t>TELEPH/</t>
  </si>
  <si>
    <t>Tennessee</t>
  </si>
  <si>
    <t>Terre Haute</t>
  </si>
  <si>
    <t>Terry</t>
  </si>
  <si>
    <t>Terry (6 mos.)</t>
  </si>
  <si>
    <t>Texas</t>
  </si>
  <si>
    <t>Thomas</t>
  </si>
  <si>
    <t>Tim</t>
  </si>
  <si>
    <t>Timothy</t>
  </si>
  <si>
    <t>TN</t>
  </si>
  <si>
    <t>TO ANTHR</t>
  </si>
  <si>
    <t>TO USTP</t>
  </si>
  <si>
    <t>Toby</t>
  </si>
  <si>
    <t>Toledo</t>
  </si>
  <si>
    <t>Topeka</t>
  </si>
  <si>
    <t>Toscano</t>
  </si>
  <si>
    <t>TOTAL</t>
  </si>
  <si>
    <t xml:space="preserve">TOTAL </t>
  </si>
  <si>
    <t>TRAINING</t>
  </si>
  <si>
    <t>TRANSFERRED</t>
  </si>
  <si>
    <t>Truman</t>
  </si>
  <si>
    <t>TRUST FUND</t>
  </si>
  <si>
    <t>TRUSTEE</t>
  </si>
  <si>
    <t>Tucson</t>
  </si>
  <si>
    <t>Tulsa</t>
  </si>
  <si>
    <t>TX</t>
  </si>
  <si>
    <t>Tyler</t>
  </si>
  <si>
    <t>unk</t>
  </si>
  <si>
    <t>UNSEC'D</t>
  </si>
  <si>
    <t>UT</t>
  </si>
  <si>
    <t>Utah</t>
  </si>
  <si>
    <t>UTILS</t>
  </si>
  <si>
    <t>VA</t>
  </si>
  <si>
    <t>Van Meter (7 mos.)</t>
  </si>
  <si>
    <t>Vancouver</t>
  </si>
  <si>
    <t>Vardaman (7 mos.)</t>
  </si>
  <si>
    <t>Vaughn</t>
  </si>
  <si>
    <t>Vermont</t>
  </si>
  <si>
    <t>Virginia</t>
  </si>
  <si>
    <t>VT</t>
  </si>
  <si>
    <t>WA</t>
  </si>
  <si>
    <t>Wallace (3 months)</t>
  </si>
  <si>
    <t>Walter</t>
  </si>
  <si>
    <t>Warford</t>
  </si>
  <si>
    <t>Washington</t>
  </si>
  <si>
    <t>Wasserman</t>
  </si>
  <si>
    <t>Waterloo</t>
  </si>
  <si>
    <t>Wayne</t>
  </si>
  <si>
    <t>Weatherford</t>
  </si>
  <si>
    <t>Wein</t>
  </si>
  <si>
    <t>Weinberg</t>
  </si>
  <si>
    <t>Weiner</t>
  </si>
  <si>
    <t>West Virginia</t>
  </si>
  <si>
    <t>Western</t>
  </si>
  <si>
    <t>Western and Eastern</t>
  </si>
  <si>
    <t>White Plains</t>
  </si>
  <si>
    <t>White River Jct</t>
  </si>
  <si>
    <t xml:space="preserve">Whiton </t>
  </si>
  <si>
    <t>WI</t>
  </si>
  <si>
    <t>Wichita</t>
  </si>
  <si>
    <t>Widener</t>
  </si>
  <si>
    <t>William</t>
  </si>
  <si>
    <t>Williams (9 months)</t>
  </si>
  <si>
    <t>Willie</t>
  </si>
  <si>
    <t>Wilmington</t>
  </si>
  <si>
    <t>Wilson</t>
  </si>
  <si>
    <t>Winnecour</t>
  </si>
  <si>
    <t>Winter Park</t>
  </si>
  <si>
    <t>Wisconsin</t>
  </si>
  <si>
    <t>Wood</t>
  </si>
  <si>
    <t>Worcester</t>
  </si>
  <si>
    <t>Worthington</t>
  </si>
  <si>
    <t>WV</t>
  </si>
  <si>
    <t>WY</t>
  </si>
  <si>
    <t>Wyoming</t>
  </si>
  <si>
    <t>Wyoming and Utah</t>
  </si>
  <si>
    <t>Yarnall</t>
  </si>
  <si>
    <t>Youngstown</t>
  </si>
  <si>
    <t>Yuma</t>
  </si>
  <si>
    <t>Zeman</t>
  </si>
  <si>
    <t>Zimmerman</t>
  </si>
</sst>
</file>

<file path=xl/styles.xml><?xml version="1.0" encoding="utf-8"?>
<styleSheet xmlns="http://schemas.openxmlformats.org/spreadsheetml/2006/main">
  <numFmts count="4">
    <numFmt numFmtId="164" formatCode="[$$-409]\ #,##0"/>
    <numFmt numFmtId="165" formatCode="0.0%"/>
    <numFmt numFmtId="166" formatCode="\_x0004_;;;"/>
    <numFmt numFmtId="167" formatCode="#,##0.0"/>
  </numFmts>
  <fonts count="5">
    <font>
      <sz val="12"/>
      <name val="Arial"/>
    </font>
    <font>
      <sz val="10"/>
      <name val="Times New Roman"/>
    </font>
    <font>
      <sz val="10"/>
      <name val="Arial"/>
    </font>
    <font>
      <b/>
      <sz val="10"/>
      <name val="Arial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12"/>
        <bgColor indexed="8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/>
  </cellStyleXfs>
  <cellXfs count="63">
    <xf numFmtId="3" fontId="0" fillId="2" borderId="0" xfId="0" applyNumberFormat="1" applyFill="1"/>
    <xf numFmtId="0" fontId="2" fillId="2" borderId="1" xfId="0" applyFont="1" applyFill="1" applyBorder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1" xfId="0" applyNumberFormat="1" applyFont="1" applyFill="1" applyBorder="1"/>
    <xf numFmtId="3" fontId="2" fillId="2" borderId="3" xfId="0" applyNumberFormat="1" applyFont="1" applyFill="1" applyBorder="1"/>
    <xf numFmtId="0" fontId="1" fillId="2" borderId="0" xfId="0" applyFont="1" applyFill="1"/>
    <xf numFmtId="3" fontId="2" fillId="2" borderId="1" xfId="0" applyNumberFormat="1" applyFont="1" applyFill="1" applyBorder="1"/>
    <xf numFmtId="3" fontId="4" fillId="2" borderId="0" xfId="0" applyNumberFormat="1" applyFont="1" applyFill="1"/>
    <xf numFmtId="165" fontId="2" fillId="2" borderId="1" xfId="0" applyNumberFormat="1" applyFont="1" applyFill="1" applyBorder="1"/>
    <xf numFmtId="22" fontId="4" fillId="2" borderId="0" xfId="0" applyNumberFormat="1" applyFont="1" applyFill="1"/>
    <xf numFmtId="22" fontId="1" fillId="2" borderId="0" xfId="0" applyNumberFormat="1" applyFont="1" applyFill="1"/>
    <xf numFmtId="15" fontId="2" fillId="2" borderId="0" xfId="0" applyNumberFormat="1" applyFont="1" applyFill="1"/>
    <xf numFmtId="0" fontId="2" fillId="2" borderId="0" xfId="0" applyFont="1" applyFill="1"/>
    <xf numFmtId="166" fontId="2" fillId="2" borderId="0" xfId="0" applyNumberFormat="1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3" borderId="8" xfId="0" applyFont="1" applyFill="1" applyBorder="1"/>
    <xf numFmtId="10" fontId="2" fillId="2" borderId="1" xfId="0" applyNumberFormat="1" applyFont="1" applyFill="1" applyBorder="1"/>
    <xf numFmtId="167" fontId="2" fillId="2" borderId="3" xfId="0" applyNumberFormat="1" applyFont="1" applyFill="1" applyBorder="1"/>
    <xf numFmtId="167" fontId="2" fillId="2" borderId="0" xfId="0" applyNumberFormat="1" applyFont="1" applyFill="1"/>
    <xf numFmtId="10" fontId="2" fillId="2" borderId="3" xfId="0" applyNumberFormat="1" applyFont="1" applyFill="1" applyBorder="1"/>
    <xf numFmtId="10" fontId="2" fillId="2" borderId="0" xfId="0" applyNumberFormat="1" applyFont="1" applyFill="1"/>
    <xf numFmtId="0" fontId="2" fillId="2" borderId="8" xfId="0" applyFont="1" applyFill="1" applyBorder="1"/>
    <xf numFmtId="0" fontId="2" fillId="2" borderId="9" xfId="0" applyFont="1" applyFill="1" applyBorder="1"/>
    <xf numFmtId="165" fontId="2" fillId="2" borderId="0" xfId="0" applyNumberFormat="1" applyFont="1" applyFill="1"/>
    <xf numFmtId="3" fontId="2" fillId="2" borderId="5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2" borderId="2" xfId="0" applyNumberFormat="1" applyFont="1" applyFill="1" applyBorder="1"/>
    <xf numFmtId="164" fontId="4" fillId="2" borderId="1" xfId="0" applyNumberFormat="1" applyFont="1" applyFill="1" applyBorder="1"/>
    <xf numFmtId="0" fontId="2" fillId="4" borderId="13" xfId="0" applyFont="1" applyFill="1" applyBorder="1"/>
    <xf numFmtId="0" fontId="2" fillId="4" borderId="8" xfId="0" applyFont="1" applyFill="1" applyBorder="1"/>
    <xf numFmtId="3" fontId="2" fillId="4" borderId="8" xfId="0" applyNumberFormat="1" applyFont="1" applyFill="1" applyBorder="1"/>
    <xf numFmtId="3" fontId="2" fillId="4" borderId="1" xfId="0" applyNumberFormat="1" applyFont="1" applyFill="1" applyBorder="1"/>
    <xf numFmtId="0" fontId="2" fillId="4" borderId="1" xfId="0" applyFont="1" applyFill="1" applyBorder="1"/>
    <xf numFmtId="165" fontId="2" fillId="4" borderId="1" xfId="0" applyNumberFormat="1" applyFont="1" applyFill="1" applyBorder="1"/>
    <xf numFmtId="167" fontId="2" fillId="4" borderId="1" xfId="0" applyNumberFormat="1" applyFont="1" applyFill="1" applyBorder="1"/>
    <xf numFmtId="10" fontId="2" fillId="4" borderId="1" xfId="0" applyNumberFormat="1" applyFont="1" applyFill="1" applyBorder="1"/>
    <xf numFmtId="3" fontId="3" fillId="2" borderId="0" xfId="0" applyNumberFormat="1" applyFont="1" applyFill="1"/>
    <xf numFmtId="3" fontId="2" fillId="2" borderId="1" xfId="0" applyNumberFormat="1" applyFont="1" applyFill="1" applyBorder="1" applyAlignment="1">
      <alignment horizontal="right"/>
    </xf>
    <xf numFmtId="3" fontId="0" fillId="2" borderId="2" xfId="0" applyNumberForma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0" fontId="4" fillId="2" borderId="1" xfId="0" applyFont="1" applyFill="1" applyBorder="1"/>
    <xf numFmtId="3" fontId="2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E215"/>
  <sheetViews>
    <sheetView showGridLines="0" tabSelected="1" workbookViewId="0"/>
  </sheetViews>
  <sheetFormatPr defaultRowHeight="15"/>
  <cols>
    <col min="1" max="1" width="5.08984375" style="3" customWidth="1"/>
    <col min="2" max="2" width="17.26953125" style="3" customWidth="1"/>
    <col min="3" max="3" width="10.453125" style="3" hidden="1" customWidth="1"/>
    <col min="4" max="4" width="12.26953125" style="3" customWidth="1"/>
    <col min="5" max="5" width="5.90625" style="3" customWidth="1"/>
    <col min="6" max="6" width="17.1796875" style="3" customWidth="1"/>
    <col min="7" max="7" width="16.7265625" style="3" customWidth="1"/>
    <col min="8" max="8" width="14.08984375" style="3" customWidth="1"/>
    <col min="9" max="9" width="16.08984375" style="3" customWidth="1"/>
    <col min="10" max="10" width="13.08984375" style="3" customWidth="1"/>
    <col min="11" max="11" width="11.36328125" style="2" customWidth="1"/>
    <col min="12" max="13" width="13.08984375" style="2" customWidth="1"/>
    <col min="14" max="14" width="11.7265625" style="2" customWidth="1"/>
    <col min="15" max="15" width="12.453125" style="2" customWidth="1"/>
    <col min="16" max="16" width="12.1796875" style="2" customWidth="1"/>
    <col min="17" max="17" width="12.36328125" style="2" customWidth="1"/>
    <col min="18" max="18" width="13.26953125" style="3" customWidth="1"/>
    <col min="19" max="19" width="12.6328125" style="3" customWidth="1"/>
    <col min="20" max="21" width="10.54296875" style="3" customWidth="1"/>
    <col min="22" max="22" width="12.453125" style="3" customWidth="1"/>
    <col min="23" max="23" width="11.54296875" style="3" customWidth="1"/>
    <col min="24" max="24" width="10.54296875" style="3" customWidth="1"/>
    <col min="25" max="25" width="13.08984375" style="3" customWidth="1"/>
    <col min="26" max="26" width="11.54296875" style="3" customWidth="1"/>
    <col min="27" max="27" width="10.90625" style="3" customWidth="1"/>
    <col min="28" max="28" width="11.7265625" style="3" customWidth="1"/>
    <col min="29" max="29" width="11.54296875" style="3" customWidth="1"/>
    <col min="30" max="30" width="12.1796875" style="3" customWidth="1"/>
    <col min="31" max="31" width="10" style="3" customWidth="1"/>
    <col min="32" max="32" width="11" style="3" customWidth="1"/>
    <col min="33" max="33" width="10.54296875" style="3" customWidth="1"/>
    <col min="34" max="34" width="12.6328125" style="3" customWidth="1"/>
    <col min="35" max="35" width="10.453125" style="3" customWidth="1"/>
    <col min="36" max="36" width="9.26953125" style="3" customWidth="1"/>
    <col min="37" max="37" width="11.7265625" style="3" customWidth="1"/>
    <col min="38" max="38" width="11.08984375" style="3" customWidth="1"/>
    <col min="39" max="39" width="8.7265625" style="3"/>
    <col min="40" max="40" width="11.54296875" style="3" customWidth="1"/>
    <col min="41" max="41" width="8.81640625" style="3" customWidth="1"/>
    <col min="42" max="42" width="11.54296875" style="3" customWidth="1"/>
    <col min="43" max="43" width="11.26953125" style="3" customWidth="1"/>
    <col min="44" max="44" width="11.7265625" style="3" customWidth="1"/>
    <col min="45" max="46" width="10.6328125" style="3" customWidth="1"/>
    <col min="47" max="47" width="9.1796875" style="3" customWidth="1"/>
    <col min="48" max="48" width="8.81640625" style="3" customWidth="1"/>
    <col min="49" max="49" width="10.81640625" style="3" customWidth="1"/>
    <col min="50" max="50" width="9.54296875" style="3" customWidth="1"/>
    <col min="51" max="52" width="9.08984375" style="3" customWidth="1"/>
    <col min="53" max="53" width="9.1796875" style="3" customWidth="1"/>
    <col min="54" max="56" width="8.26953125" style="3" customWidth="1"/>
    <col min="57" max="57" width="10.81640625" style="3" customWidth="1"/>
    <col min="58" max="58" width="9.54296875" style="3" customWidth="1"/>
    <col min="59" max="59" width="9.1796875" style="3" customWidth="1"/>
    <col min="60" max="60" width="9.90625" style="3" customWidth="1"/>
    <col min="61" max="61" width="10.6328125" style="3" customWidth="1"/>
    <col min="62" max="62" width="7.6328125" style="3" customWidth="1"/>
    <col min="63" max="63" width="9.453125" style="3" customWidth="1"/>
    <col min="64" max="64" width="8.7265625" style="3"/>
    <col min="65" max="65" width="9.26953125" style="3" customWidth="1"/>
    <col min="66" max="66" width="9.08984375" style="3" customWidth="1"/>
    <col min="67" max="67" width="8.26953125" style="3" customWidth="1"/>
    <col min="68" max="68" width="9.6328125" style="3" customWidth="1"/>
    <col min="69" max="69" width="8.26953125" style="3" customWidth="1"/>
    <col min="70" max="70" width="6.453125" style="3" customWidth="1"/>
    <col min="71" max="71" width="6.36328125" style="3" customWidth="1"/>
    <col min="72" max="72" width="9.08984375" style="3" customWidth="1"/>
    <col min="73" max="73" width="9.7265625" style="3" customWidth="1"/>
    <col min="74" max="74" width="8.26953125" style="3" customWidth="1"/>
    <col min="75" max="75" width="7.26953125" style="3" customWidth="1"/>
    <col min="76" max="76" width="6.36328125" style="3" customWidth="1"/>
    <col min="77" max="239" width="8.26953125" style="3" customWidth="1"/>
  </cols>
  <sheetData>
    <row r="1" spans="1:77">
      <c r="A1" s="11"/>
      <c r="D1" s="16" t="s">
        <v>3</v>
      </c>
      <c r="G1" s="47"/>
      <c r="X1" s="16"/>
      <c r="Y1" s="14"/>
      <c r="AA1" s="16"/>
      <c r="AL1" s="14"/>
      <c r="AN1" s="16"/>
      <c r="AO1" s="16"/>
      <c r="BB1" s="14"/>
      <c r="BI1" s="16"/>
    </row>
    <row r="2" spans="1:77">
      <c r="A2" s="16"/>
      <c r="D2" s="16" t="s">
        <v>251</v>
      </c>
      <c r="G2" s="47"/>
      <c r="T2" s="14"/>
      <c r="X2" s="16"/>
      <c r="Z2" s="16"/>
      <c r="AA2" s="16"/>
      <c r="AB2" s="16"/>
      <c r="AC2" s="17"/>
      <c r="AN2" s="16"/>
      <c r="AO2" s="16"/>
      <c r="BI2" s="16"/>
    </row>
    <row r="3" spans="1:77">
      <c r="K3" s="50"/>
      <c r="L3" s="57" t="s">
        <v>2</v>
      </c>
      <c r="M3" s="57"/>
      <c r="N3" s="59"/>
      <c r="O3" s="50"/>
      <c r="P3" s="57" t="s">
        <v>532</v>
      </c>
      <c r="Q3" s="59"/>
      <c r="BK3" s="35" t="s">
        <v>512</v>
      </c>
      <c r="BL3" s="36"/>
      <c r="BM3" s="36"/>
      <c r="BN3" s="36"/>
      <c r="BO3" s="37"/>
      <c r="BP3" s="35" t="s">
        <v>510</v>
      </c>
      <c r="BQ3" s="36"/>
      <c r="BR3" s="36"/>
      <c r="BS3" s="36"/>
      <c r="BT3" s="37"/>
      <c r="BU3" s="35" t="s">
        <v>511</v>
      </c>
      <c r="BV3" s="36"/>
      <c r="BW3" s="36"/>
      <c r="BX3" s="36"/>
      <c r="BY3" s="37"/>
    </row>
    <row r="4" spans="1:77">
      <c r="C4" s="15" t="s">
        <v>0</v>
      </c>
      <c r="D4" s="13"/>
      <c r="K4" s="51"/>
      <c r="L4" s="51"/>
      <c r="M4" s="58"/>
      <c r="N4" s="60"/>
      <c r="O4" s="51"/>
      <c r="P4" s="58"/>
      <c r="Q4" s="60"/>
      <c r="BK4" s="34"/>
      <c r="BO4" s="8"/>
      <c r="BP4" s="34"/>
      <c r="BT4" s="8"/>
      <c r="BU4" s="34"/>
      <c r="BY4" s="8"/>
    </row>
    <row r="5" spans="1:77">
      <c r="A5" s="18"/>
      <c r="B5" s="4"/>
      <c r="C5" s="4"/>
      <c r="D5" s="4"/>
      <c r="E5" s="4"/>
      <c r="F5" s="4"/>
      <c r="G5" s="4"/>
      <c r="H5" s="4" t="s">
        <v>272</v>
      </c>
      <c r="I5" s="4" t="s">
        <v>659</v>
      </c>
      <c r="J5" s="4"/>
      <c r="K5" s="52" t="s">
        <v>496</v>
      </c>
      <c r="L5" s="52"/>
      <c r="M5" s="52"/>
      <c r="N5" s="52" t="s">
        <v>174</v>
      </c>
      <c r="O5" s="52" t="s">
        <v>496</v>
      </c>
      <c r="P5" s="52"/>
      <c r="Q5" s="52" t="s">
        <v>174</v>
      </c>
      <c r="R5" s="4" t="s">
        <v>670</v>
      </c>
      <c r="S5" s="4"/>
      <c r="T5" s="4"/>
      <c r="U5" s="4"/>
      <c r="V5" s="4" t="s">
        <v>658</v>
      </c>
      <c r="W5" s="4" t="s">
        <v>117</v>
      </c>
      <c r="X5" s="4" t="s">
        <v>475</v>
      </c>
      <c r="Y5" s="4" t="s">
        <v>55</v>
      </c>
      <c r="Z5" s="4"/>
      <c r="AA5" s="4"/>
      <c r="AB5" s="4"/>
      <c r="AC5" s="27" t="s">
        <v>1</v>
      </c>
      <c r="AD5" s="27"/>
      <c r="AE5" s="28"/>
      <c r="AF5" s="4" t="s">
        <v>488</v>
      </c>
      <c r="AG5" s="4" t="s">
        <v>82</v>
      </c>
      <c r="AH5" s="4"/>
      <c r="AI5" s="4" t="s">
        <v>149</v>
      </c>
      <c r="AJ5" s="4"/>
      <c r="AK5" s="4" t="s">
        <v>642</v>
      </c>
      <c r="AL5" s="49"/>
      <c r="AM5" s="4" t="s">
        <v>220</v>
      </c>
      <c r="AN5" s="4" t="s">
        <v>220</v>
      </c>
      <c r="AO5" s="4" t="s">
        <v>658</v>
      </c>
      <c r="AP5" s="4" t="s">
        <v>658</v>
      </c>
      <c r="AQ5" s="4" t="s">
        <v>658</v>
      </c>
      <c r="AR5" s="4"/>
      <c r="AS5" s="4"/>
      <c r="AT5" s="4"/>
      <c r="AU5" s="4"/>
      <c r="AV5" s="4"/>
      <c r="AW5" s="4" t="s">
        <v>217</v>
      </c>
      <c r="AX5" s="4" t="s">
        <v>224</v>
      </c>
      <c r="AY5" s="4" t="s">
        <v>223</v>
      </c>
      <c r="AZ5" s="4" t="s">
        <v>20</v>
      </c>
      <c r="BA5" s="4" t="s">
        <v>116</v>
      </c>
      <c r="BB5" s="4" t="s">
        <v>465</v>
      </c>
      <c r="BC5" s="4"/>
      <c r="BD5" s="37"/>
      <c r="BE5" s="37" t="s">
        <v>116</v>
      </c>
      <c r="BF5" s="37"/>
      <c r="BG5" s="37" t="s">
        <v>138</v>
      </c>
      <c r="BH5" s="37" t="s">
        <v>138</v>
      </c>
      <c r="BI5" s="4"/>
      <c r="BJ5" s="18"/>
      <c r="BK5" s="4"/>
      <c r="BL5" s="4"/>
      <c r="BM5" s="4"/>
      <c r="BN5" s="4"/>
      <c r="BO5" s="4" t="s">
        <v>474</v>
      </c>
      <c r="BP5" s="4"/>
      <c r="BQ5" s="4"/>
      <c r="BR5" s="4"/>
      <c r="BS5" s="4"/>
      <c r="BT5" s="4" t="s">
        <v>474</v>
      </c>
      <c r="BU5" s="4"/>
      <c r="BV5" s="4"/>
      <c r="BW5" s="4"/>
      <c r="BX5" s="4"/>
      <c r="BY5" s="4" t="s">
        <v>474</v>
      </c>
    </row>
    <row r="6" spans="1:77">
      <c r="A6" s="19"/>
      <c r="B6" s="5" t="s">
        <v>664</v>
      </c>
      <c r="C6" s="5" t="s">
        <v>664</v>
      </c>
      <c r="D6" s="5"/>
      <c r="E6" s="5"/>
      <c r="F6" s="5" t="s">
        <v>196</v>
      </c>
      <c r="G6" s="5" t="s">
        <v>624</v>
      </c>
      <c r="H6" s="5" t="s">
        <v>175</v>
      </c>
      <c r="I6" s="5" t="s">
        <v>663</v>
      </c>
      <c r="J6" s="5"/>
      <c r="K6" s="53" t="s">
        <v>446</v>
      </c>
      <c r="L6" s="53" t="s">
        <v>446</v>
      </c>
      <c r="M6" s="53" t="s">
        <v>32</v>
      </c>
      <c r="N6" s="53" t="s">
        <v>110</v>
      </c>
      <c r="O6" s="53" t="s">
        <v>130</v>
      </c>
      <c r="P6" s="53" t="s">
        <v>32</v>
      </c>
      <c r="Q6" s="53" t="s">
        <v>110</v>
      </c>
      <c r="R6" s="5" t="s">
        <v>159</v>
      </c>
      <c r="S6" s="5" t="s">
        <v>175</v>
      </c>
      <c r="T6" s="5" t="s">
        <v>16</v>
      </c>
      <c r="U6" s="5"/>
      <c r="V6" s="5" t="s">
        <v>192</v>
      </c>
      <c r="W6" s="5" t="s">
        <v>546</v>
      </c>
      <c r="X6" s="5" t="s">
        <v>447</v>
      </c>
      <c r="Y6" s="5" t="s">
        <v>44</v>
      </c>
      <c r="Z6" s="5" t="s">
        <v>7</v>
      </c>
      <c r="AA6" s="5" t="s">
        <v>151</v>
      </c>
      <c r="AB6" s="5"/>
      <c r="AC6" s="5"/>
      <c r="AD6" s="5" t="s">
        <v>215</v>
      </c>
      <c r="AE6" s="5"/>
      <c r="AF6" s="5" t="s">
        <v>555</v>
      </c>
      <c r="AG6" s="5" t="s">
        <v>19</v>
      </c>
      <c r="AH6" s="5" t="s">
        <v>148</v>
      </c>
      <c r="AI6" s="5" t="s">
        <v>633</v>
      </c>
      <c r="AJ6" s="5" t="s">
        <v>481</v>
      </c>
      <c r="AK6" s="5" t="s">
        <v>529</v>
      </c>
      <c r="AL6" s="5" t="s">
        <v>660</v>
      </c>
      <c r="AM6" s="5" t="s">
        <v>250</v>
      </c>
      <c r="AN6" s="5" t="s">
        <v>250</v>
      </c>
      <c r="AO6" s="5" t="s">
        <v>33</v>
      </c>
      <c r="AP6" s="5" t="s">
        <v>22</v>
      </c>
      <c r="AQ6" s="5" t="s">
        <v>45</v>
      </c>
      <c r="AR6" s="5" t="s">
        <v>552</v>
      </c>
      <c r="AS6" s="5" t="s">
        <v>434</v>
      </c>
      <c r="AT6" s="5" t="s">
        <v>315</v>
      </c>
      <c r="AU6" s="5" t="s">
        <v>22</v>
      </c>
      <c r="AV6" s="5" t="s">
        <v>223</v>
      </c>
      <c r="AW6" s="5" t="s">
        <v>224</v>
      </c>
      <c r="AX6" s="5" t="s">
        <v>312</v>
      </c>
      <c r="AY6" s="5" t="s">
        <v>508</v>
      </c>
      <c r="AZ6" s="5" t="s">
        <v>497</v>
      </c>
      <c r="BA6" s="5" t="s">
        <v>21</v>
      </c>
      <c r="BB6" s="5" t="s">
        <v>116</v>
      </c>
      <c r="BC6" s="5" t="s">
        <v>116</v>
      </c>
      <c r="BD6" s="8" t="s">
        <v>502</v>
      </c>
      <c r="BE6" s="8" t="s">
        <v>153</v>
      </c>
      <c r="BF6" s="8" t="s">
        <v>116</v>
      </c>
      <c r="BG6" s="8" t="s">
        <v>145</v>
      </c>
      <c r="BH6" s="8" t="s">
        <v>280</v>
      </c>
      <c r="BI6" s="5" t="s">
        <v>6</v>
      </c>
      <c r="BJ6" s="19" t="s">
        <v>116</v>
      </c>
      <c r="BK6" s="5"/>
      <c r="BL6" s="5"/>
      <c r="BM6" s="5"/>
      <c r="BN6" s="5"/>
      <c r="BO6" s="5" t="s">
        <v>670</v>
      </c>
      <c r="BP6" s="5"/>
      <c r="BQ6" s="5"/>
      <c r="BR6" s="5"/>
      <c r="BS6" s="5"/>
      <c r="BT6" s="5" t="s">
        <v>670</v>
      </c>
      <c r="BU6" s="5"/>
      <c r="BV6" s="5"/>
      <c r="BW6" s="5"/>
      <c r="BX6" s="5"/>
      <c r="BY6" s="5" t="s">
        <v>670</v>
      </c>
    </row>
    <row r="7" spans="1:77">
      <c r="A7" s="20" t="s">
        <v>548</v>
      </c>
      <c r="B7" s="6" t="s">
        <v>371</v>
      </c>
      <c r="C7" s="6" t="s">
        <v>234</v>
      </c>
      <c r="D7" s="6" t="s">
        <v>134</v>
      </c>
      <c r="E7" s="6" t="s">
        <v>624</v>
      </c>
      <c r="F7" s="6" t="s">
        <v>46</v>
      </c>
      <c r="G7" s="6" t="s">
        <v>46</v>
      </c>
      <c r="H7" s="6" t="s">
        <v>509</v>
      </c>
      <c r="I7" s="6" t="s">
        <v>546</v>
      </c>
      <c r="J7" s="6" t="s">
        <v>547</v>
      </c>
      <c r="K7" s="54" t="s">
        <v>5</v>
      </c>
      <c r="L7" s="54" t="s">
        <v>50</v>
      </c>
      <c r="M7" s="54" t="s">
        <v>600</v>
      </c>
      <c r="N7" s="54" t="s">
        <v>93</v>
      </c>
      <c r="O7" s="54" t="s">
        <v>538</v>
      </c>
      <c r="P7" s="54" t="s">
        <v>533</v>
      </c>
      <c r="Q7" s="54" t="s">
        <v>93</v>
      </c>
      <c r="R7" s="6" t="s">
        <v>191</v>
      </c>
      <c r="S7" s="6" t="s">
        <v>52</v>
      </c>
      <c r="T7" s="6" t="s">
        <v>56</v>
      </c>
      <c r="U7" s="6" t="s">
        <v>481</v>
      </c>
      <c r="V7" s="6" t="s">
        <v>417</v>
      </c>
      <c r="W7" s="6" t="s">
        <v>542</v>
      </c>
      <c r="X7" s="6" t="s">
        <v>129</v>
      </c>
      <c r="Y7" s="6" t="s">
        <v>69</v>
      </c>
      <c r="Z7" s="6" t="s">
        <v>661</v>
      </c>
      <c r="AA7" s="6" t="s">
        <v>546</v>
      </c>
      <c r="AB7" s="6" t="s">
        <v>316</v>
      </c>
      <c r="AC7" s="6" t="s">
        <v>583</v>
      </c>
      <c r="AD7" s="6" t="s">
        <v>152</v>
      </c>
      <c r="AE7" s="6" t="s">
        <v>73</v>
      </c>
      <c r="AF7" s="6" t="s">
        <v>673</v>
      </c>
      <c r="AG7" s="6" t="s">
        <v>602</v>
      </c>
      <c r="AH7" s="6" t="s">
        <v>602</v>
      </c>
      <c r="AI7" s="6" t="s">
        <v>602</v>
      </c>
      <c r="AJ7" s="6" t="s">
        <v>225</v>
      </c>
      <c r="AK7" s="6" t="s">
        <v>635</v>
      </c>
      <c r="AL7" s="6" t="s">
        <v>9</v>
      </c>
      <c r="AM7" s="6" t="s">
        <v>556</v>
      </c>
      <c r="AN7" s="6" t="s">
        <v>537</v>
      </c>
      <c r="AO7" s="6" t="s">
        <v>553</v>
      </c>
      <c r="AP7" s="6" t="s">
        <v>226</v>
      </c>
      <c r="AQ7" s="6" t="s">
        <v>226</v>
      </c>
      <c r="AR7" s="6" t="s">
        <v>8</v>
      </c>
      <c r="AS7" s="6" t="s">
        <v>193</v>
      </c>
      <c r="AT7" s="6" t="s">
        <v>177</v>
      </c>
      <c r="AU7" s="6" t="s">
        <v>146</v>
      </c>
      <c r="AV7" s="6" t="s">
        <v>146</v>
      </c>
      <c r="AW7" s="6" t="s">
        <v>58</v>
      </c>
      <c r="AX7" s="6" t="s">
        <v>487</v>
      </c>
      <c r="AY7" s="6" t="s">
        <v>653</v>
      </c>
      <c r="AZ7" s="6" t="s">
        <v>178</v>
      </c>
      <c r="BA7" s="6" t="s">
        <v>623</v>
      </c>
      <c r="BB7" s="6" t="s">
        <v>232</v>
      </c>
      <c r="BC7" s="6" t="s">
        <v>557</v>
      </c>
      <c r="BD7" s="62" t="s">
        <v>23</v>
      </c>
      <c r="BE7" s="62" t="s">
        <v>652</v>
      </c>
      <c r="BF7" s="62" t="s">
        <v>195</v>
      </c>
      <c r="BG7" s="62" t="s">
        <v>524</v>
      </c>
      <c r="BH7" s="62" t="s">
        <v>194</v>
      </c>
      <c r="BI7" s="6" t="s">
        <v>216</v>
      </c>
      <c r="BJ7" s="19" t="s">
        <v>12</v>
      </c>
      <c r="BK7" s="5" t="s">
        <v>17</v>
      </c>
      <c r="BL7" s="5" t="s">
        <v>15</v>
      </c>
      <c r="BM7" s="5" t="s">
        <v>14</v>
      </c>
      <c r="BN7" s="5" t="s">
        <v>13</v>
      </c>
      <c r="BO7" s="5" t="s">
        <v>135</v>
      </c>
      <c r="BP7" s="5" t="s">
        <v>17</v>
      </c>
      <c r="BQ7" s="5" t="s">
        <v>15</v>
      </c>
      <c r="BR7" s="5" t="s">
        <v>14</v>
      </c>
      <c r="BS7" s="5" t="s">
        <v>13</v>
      </c>
      <c r="BT7" s="5" t="s">
        <v>135</v>
      </c>
      <c r="BU7" s="5" t="s">
        <v>17</v>
      </c>
      <c r="BV7" s="5" t="s">
        <v>15</v>
      </c>
      <c r="BW7" s="5" t="s">
        <v>14</v>
      </c>
      <c r="BX7" s="5" t="s">
        <v>13</v>
      </c>
      <c r="BY7" s="5" t="s">
        <v>135</v>
      </c>
    </row>
    <row r="8" spans="1:77">
      <c r="A8" s="19"/>
      <c r="B8" s="5"/>
      <c r="C8" s="5"/>
      <c r="D8" s="5"/>
      <c r="E8" s="5"/>
      <c r="F8" s="5"/>
      <c r="G8" s="5"/>
      <c r="H8" s="5"/>
      <c r="I8" s="5"/>
      <c r="J8" s="5"/>
      <c r="K8" s="53"/>
      <c r="L8" s="53"/>
      <c r="M8" s="53"/>
      <c r="N8" s="53"/>
      <c r="O8" s="53"/>
      <c r="P8" s="53"/>
      <c r="Q8" s="53"/>
      <c r="R8" s="5"/>
      <c r="S8" s="5"/>
      <c r="T8" s="5"/>
      <c r="U8" s="5"/>
      <c r="V8" s="5"/>
      <c r="W8" s="5"/>
      <c r="X8" s="8"/>
      <c r="Y8" s="25"/>
      <c r="Z8" s="8"/>
      <c r="AA8" s="8"/>
      <c r="AB8" s="5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3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>
      <c r="A9" s="39"/>
      <c r="B9" s="40" t="s">
        <v>458</v>
      </c>
      <c r="C9" s="21"/>
      <c r="D9" s="40"/>
      <c r="E9" s="41"/>
      <c r="F9" s="41"/>
      <c r="G9" s="41"/>
      <c r="H9" s="42">
        <f t="shared" ref="H9:AQ9" si="0">AVERAGE(H12:H204)</f>
        <v>19126952.748691101</v>
      </c>
      <c r="I9" s="42">
        <f t="shared" si="0"/>
        <v>19209092.400732983</v>
      </c>
      <c r="J9" s="42">
        <f t="shared" si="0"/>
        <v>784988.39267015702</v>
      </c>
      <c r="K9" s="55">
        <f t="shared" si="0"/>
        <v>1875992.6910994765</v>
      </c>
      <c r="L9" s="55">
        <f t="shared" si="0"/>
        <v>688359.75132275128</v>
      </c>
      <c r="M9" s="55">
        <f t="shared" si="0"/>
        <v>3416395.4021164021</v>
      </c>
      <c r="N9" s="55">
        <f t="shared" si="0"/>
        <v>4302207.2460732982</v>
      </c>
      <c r="O9" s="55">
        <f t="shared" si="0"/>
        <v>34415.473684210527</v>
      </c>
      <c r="P9" s="55">
        <f t="shared" si="0"/>
        <v>609916.00529100525</v>
      </c>
      <c r="Q9" s="55">
        <f t="shared" si="0"/>
        <v>881043.81151832466</v>
      </c>
      <c r="R9" s="42">
        <f t="shared" si="0"/>
        <v>3947431.827225131</v>
      </c>
      <c r="S9" s="42">
        <f t="shared" si="0"/>
        <v>1316725.6492146596</v>
      </c>
      <c r="T9" s="42">
        <f t="shared" si="0"/>
        <v>13678.010526315789</v>
      </c>
      <c r="U9" s="42">
        <f t="shared" si="0"/>
        <v>8270.073298429319</v>
      </c>
      <c r="V9" s="42">
        <f t="shared" si="0"/>
        <v>18164162.424083769</v>
      </c>
      <c r="W9" s="44">
        <f t="shared" si="0"/>
        <v>0.12265386387434549</v>
      </c>
      <c r="X9" s="42">
        <f t="shared" si="0"/>
        <v>931615.54541269841</v>
      </c>
      <c r="Y9" s="46">
        <f t="shared" si="0"/>
        <v>6.3876458639422956E-2</v>
      </c>
      <c r="Z9" s="42">
        <f t="shared" si="0"/>
        <v>877941.85921465978</v>
      </c>
      <c r="AA9" s="42">
        <f t="shared" si="0"/>
        <v>4290.2513089005233</v>
      </c>
      <c r="AB9" s="42">
        <f t="shared" si="0"/>
        <v>77377.293193717283</v>
      </c>
      <c r="AC9" s="42">
        <f t="shared" si="0"/>
        <v>416260.36649214657</v>
      </c>
      <c r="AD9" s="42">
        <f t="shared" si="0"/>
        <v>33994.539267015709</v>
      </c>
      <c r="AE9" s="42">
        <f t="shared" si="0"/>
        <v>79126.465968586388</v>
      </c>
      <c r="AF9" s="42">
        <f t="shared" si="0"/>
        <v>76552.685863874343</v>
      </c>
      <c r="AG9" s="42">
        <f t="shared" si="0"/>
        <v>8729.8115183246082</v>
      </c>
      <c r="AH9" s="42">
        <f t="shared" si="0"/>
        <v>26327.916230366493</v>
      </c>
      <c r="AI9" s="42">
        <f t="shared" si="0"/>
        <v>10320.96335078534</v>
      </c>
      <c r="AJ9" s="42">
        <f t="shared" si="0"/>
        <v>18298.560209424082</v>
      </c>
      <c r="AK9" s="42">
        <f t="shared" si="0"/>
        <v>64311.214659685866</v>
      </c>
      <c r="AL9" s="42">
        <f t="shared" si="0"/>
        <v>8600.0421052631573</v>
      </c>
      <c r="AM9" s="42">
        <f t="shared" si="0"/>
        <v>7109.6842105263158</v>
      </c>
      <c r="AN9" s="42">
        <f t="shared" si="0"/>
        <v>33162.275132275136</v>
      </c>
      <c r="AO9" s="42">
        <f t="shared" si="0"/>
        <v>12335.795811518325</v>
      </c>
      <c r="AP9" s="42">
        <f t="shared" si="0"/>
        <v>859477.28795811522</v>
      </c>
      <c r="AQ9" s="42">
        <f t="shared" si="0"/>
        <v>894020.06806282722</v>
      </c>
      <c r="AR9" s="44">
        <f>AO10/AP10</f>
        <v>1.4352672239687482E-2</v>
      </c>
      <c r="AS9" s="42">
        <f t="shared" ref="AS9:BY9" si="1">AVERAGE(AS12:AS204)</f>
        <v>602.80366492146595</v>
      </c>
      <c r="AT9" s="42">
        <f t="shared" si="1"/>
        <v>10.471204188481675</v>
      </c>
      <c r="AU9" s="42">
        <f t="shared" si="1"/>
        <v>124909.62827225131</v>
      </c>
      <c r="AV9" s="42">
        <f t="shared" si="1"/>
        <v>54.35078534031414</v>
      </c>
      <c r="AW9" s="42">
        <f t="shared" si="1"/>
        <v>109956.38743455497</v>
      </c>
      <c r="AX9" s="42">
        <f t="shared" si="1"/>
        <v>993.22513089005236</v>
      </c>
      <c r="AY9" s="42">
        <f t="shared" si="1"/>
        <v>594.51308900523566</v>
      </c>
      <c r="AZ9" s="42">
        <f t="shared" si="1"/>
        <v>52.549738219895289</v>
      </c>
      <c r="BA9" s="42">
        <f t="shared" si="1"/>
        <v>3935.7486910994762</v>
      </c>
      <c r="BB9" s="42">
        <f t="shared" si="1"/>
        <v>1792.0575916230366</v>
      </c>
      <c r="BC9" s="42">
        <f t="shared" si="1"/>
        <v>49.06315789473684</v>
      </c>
      <c r="BD9" s="42">
        <f t="shared" si="1"/>
        <v>-2.2303664921465969</v>
      </c>
      <c r="BE9" s="42">
        <f t="shared" si="1"/>
        <v>-216.4607329842932</v>
      </c>
      <c r="BF9" s="42">
        <f t="shared" si="1"/>
        <v>-1000.8115183246073</v>
      </c>
      <c r="BG9" s="42">
        <f t="shared" si="1"/>
        <v>-508.71204188481676</v>
      </c>
      <c r="BH9" s="42">
        <f t="shared" si="1"/>
        <v>-3.594736842105263</v>
      </c>
      <c r="BI9" s="42">
        <f t="shared" si="1"/>
        <v>4002.9067357512954</v>
      </c>
      <c r="BJ9" s="42">
        <f t="shared" si="1"/>
        <v>16.329842931937172</v>
      </c>
      <c r="BK9" s="42">
        <f t="shared" si="1"/>
        <v>151.68062827225131</v>
      </c>
      <c r="BL9" s="42">
        <f t="shared" si="1"/>
        <v>44.963350785340317</v>
      </c>
      <c r="BM9" s="42">
        <f t="shared" si="1"/>
        <v>236.4869109947644</v>
      </c>
      <c r="BN9" s="42">
        <f t="shared" si="1"/>
        <v>37.183246073298427</v>
      </c>
      <c r="BO9" s="42">
        <f t="shared" si="1"/>
        <v>14.195767195767196</v>
      </c>
      <c r="BP9" s="42">
        <f t="shared" si="1"/>
        <v>12.702127659574469</v>
      </c>
      <c r="BQ9" s="42">
        <f t="shared" si="1"/>
        <v>2.0053191489361701</v>
      </c>
      <c r="BR9" s="42">
        <f t="shared" si="1"/>
        <v>18.661375661375661</v>
      </c>
      <c r="BS9" s="42">
        <f t="shared" si="1"/>
        <v>40.873015873015873</v>
      </c>
      <c r="BT9" s="42">
        <f t="shared" si="1"/>
        <v>4.9625668449197864</v>
      </c>
      <c r="BU9" s="42">
        <f t="shared" si="1"/>
        <v>27.052910052910054</v>
      </c>
      <c r="BV9" s="42">
        <f t="shared" si="1"/>
        <v>7.1005291005291005</v>
      </c>
      <c r="BW9" s="42">
        <f t="shared" si="1"/>
        <v>60.481481481481481</v>
      </c>
      <c r="BX9" s="42">
        <f t="shared" si="1"/>
        <v>148.85714285714286</v>
      </c>
      <c r="BY9" s="42">
        <f t="shared" si="1"/>
        <v>21.208556149732619</v>
      </c>
    </row>
    <row r="10" spans="1:77">
      <c r="A10" s="39"/>
      <c r="B10" s="40" t="s">
        <v>459</v>
      </c>
      <c r="C10" s="21"/>
      <c r="D10" s="40"/>
      <c r="E10" s="41"/>
      <c r="F10" s="41"/>
      <c r="G10" s="41"/>
      <c r="H10" s="42">
        <f t="shared" ref="H10:V10" si="2">SUM(H12:H204)</f>
        <v>3653247975</v>
      </c>
      <c r="I10" s="42">
        <f t="shared" si="2"/>
        <v>3668936648.54</v>
      </c>
      <c r="J10" s="42">
        <f t="shared" si="2"/>
        <v>149932783</v>
      </c>
      <c r="K10" s="55">
        <f t="shared" si="2"/>
        <v>358314604</v>
      </c>
      <c r="L10" s="55">
        <f t="shared" si="2"/>
        <v>130099993</v>
      </c>
      <c r="M10" s="55">
        <f t="shared" si="2"/>
        <v>645698731</v>
      </c>
      <c r="N10" s="55">
        <f t="shared" si="2"/>
        <v>821721584</v>
      </c>
      <c r="O10" s="55">
        <f t="shared" si="2"/>
        <v>6538940</v>
      </c>
      <c r="P10" s="55">
        <f t="shared" si="2"/>
        <v>115274125</v>
      </c>
      <c r="Q10" s="55">
        <f t="shared" si="2"/>
        <v>168279368</v>
      </c>
      <c r="R10" s="42">
        <f t="shared" si="2"/>
        <v>753959479</v>
      </c>
      <c r="S10" s="42">
        <f t="shared" si="2"/>
        <v>251494599</v>
      </c>
      <c r="T10" s="42">
        <f t="shared" si="2"/>
        <v>2598822</v>
      </c>
      <c r="U10" s="42">
        <f t="shared" si="2"/>
        <v>1579584</v>
      </c>
      <c r="V10" s="42">
        <f t="shared" si="2"/>
        <v>3469355023</v>
      </c>
      <c r="W10" s="45" t="s">
        <v>453</v>
      </c>
      <c r="X10" s="42">
        <f>SUM(X12:X204)</f>
        <v>176075338.083</v>
      </c>
      <c r="Y10" s="43" t="s">
        <v>453</v>
      </c>
      <c r="Z10" s="42">
        <f t="shared" ref="Z10:AQ10" si="3">SUM(Z12:Z204)</f>
        <v>167686895.11000001</v>
      </c>
      <c r="AA10" s="42">
        <f t="shared" si="3"/>
        <v>819438</v>
      </c>
      <c r="AB10" s="42">
        <f t="shared" si="3"/>
        <v>14779063</v>
      </c>
      <c r="AC10" s="42">
        <f t="shared" si="3"/>
        <v>79505730</v>
      </c>
      <c r="AD10" s="42">
        <f t="shared" si="3"/>
        <v>6492957</v>
      </c>
      <c r="AE10" s="42">
        <f t="shared" si="3"/>
        <v>15113155</v>
      </c>
      <c r="AF10" s="42">
        <f t="shared" si="3"/>
        <v>14621563</v>
      </c>
      <c r="AG10" s="42">
        <f t="shared" si="3"/>
        <v>1667394</v>
      </c>
      <c r="AH10" s="42">
        <f t="shared" si="3"/>
        <v>5028632</v>
      </c>
      <c r="AI10" s="42">
        <f t="shared" si="3"/>
        <v>1971304</v>
      </c>
      <c r="AJ10" s="42">
        <f t="shared" si="3"/>
        <v>3495025</v>
      </c>
      <c r="AK10" s="42">
        <f t="shared" si="3"/>
        <v>12283442</v>
      </c>
      <c r="AL10" s="42">
        <f t="shared" si="3"/>
        <v>1634008</v>
      </c>
      <c r="AM10" s="42">
        <f t="shared" si="3"/>
        <v>1350840</v>
      </c>
      <c r="AN10" s="42">
        <f t="shared" si="3"/>
        <v>6267670</v>
      </c>
      <c r="AO10" s="42">
        <f t="shared" si="3"/>
        <v>2356137</v>
      </c>
      <c r="AP10" s="42">
        <f t="shared" si="3"/>
        <v>164160162</v>
      </c>
      <c r="AQ10" s="42">
        <f t="shared" si="3"/>
        <v>170757833</v>
      </c>
      <c r="AR10" s="42" t="s">
        <v>453</v>
      </c>
      <c r="AS10" s="42">
        <f t="shared" ref="AS10:BY10" si="4">SUM(AS12:AS204)</f>
        <v>115135.5</v>
      </c>
      <c r="AT10" s="42">
        <f t="shared" si="4"/>
        <v>2000</v>
      </c>
      <c r="AU10" s="42">
        <f t="shared" si="4"/>
        <v>23857739</v>
      </c>
      <c r="AV10" s="42">
        <f t="shared" si="4"/>
        <v>10381</v>
      </c>
      <c r="AW10" s="42">
        <f t="shared" si="4"/>
        <v>21001670</v>
      </c>
      <c r="AX10" s="42">
        <f t="shared" si="4"/>
        <v>189706</v>
      </c>
      <c r="AY10" s="42">
        <f t="shared" si="4"/>
        <v>113552</v>
      </c>
      <c r="AZ10" s="42">
        <f t="shared" si="4"/>
        <v>10037</v>
      </c>
      <c r="BA10" s="42">
        <f t="shared" si="4"/>
        <v>751728</v>
      </c>
      <c r="BB10" s="42">
        <f t="shared" si="4"/>
        <v>342283</v>
      </c>
      <c r="BC10" s="42">
        <f t="shared" si="4"/>
        <v>9322</v>
      </c>
      <c r="BD10" s="42">
        <f t="shared" si="4"/>
        <v>-426</v>
      </c>
      <c r="BE10" s="42">
        <f t="shared" si="4"/>
        <v>-41344</v>
      </c>
      <c r="BF10" s="42">
        <f t="shared" si="4"/>
        <v>-191155</v>
      </c>
      <c r="BG10" s="42">
        <f t="shared" si="4"/>
        <v>-97164</v>
      </c>
      <c r="BH10" s="42">
        <f t="shared" si="4"/>
        <v>-683</v>
      </c>
      <c r="BI10" s="42">
        <f t="shared" si="4"/>
        <v>772561</v>
      </c>
      <c r="BJ10" s="42">
        <f t="shared" si="4"/>
        <v>3119</v>
      </c>
      <c r="BK10" s="42">
        <f t="shared" si="4"/>
        <v>28971</v>
      </c>
      <c r="BL10" s="42">
        <f t="shared" si="4"/>
        <v>8588</v>
      </c>
      <c r="BM10" s="42">
        <f t="shared" si="4"/>
        <v>45169</v>
      </c>
      <c r="BN10" s="42">
        <f t="shared" si="4"/>
        <v>7102</v>
      </c>
      <c r="BO10" s="42">
        <f t="shared" si="4"/>
        <v>2683</v>
      </c>
      <c r="BP10" s="42">
        <f t="shared" si="4"/>
        <v>2388</v>
      </c>
      <c r="BQ10" s="42">
        <f t="shared" si="4"/>
        <v>377</v>
      </c>
      <c r="BR10" s="42">
        <f t="shared" si="4"/>
        <v>3527</v>
      </c>
      <c r="BS10" s="42">
        <f t="shared" si="4"/>
        <v>7725</v>
      </c>
      <c r="BT10" s="42">
        <f t="shared" si="4"/>
        <v>928</v>
      </c>
      <c r="BU10" s="42">
        <f t="shared" si="4"/>
        <v>5113</v>
      </c>
      <c r="BV10" s="42">
        <f t="shared" si="4"/>
        <v>1342</v>
      </c>
      <c r="BW10" s="42">
        <f t="shared" si="4"/>
        <v>11431</v>
      </c>
      <c r="BX10" s="42">
        <f t="shared" si="4"/>
        <v>28134</v>
      </c>
      <c r="BY10" s="42">
        <f t="shared" si="4"/>
        <v>3966</v>
      </c>
    </row>
    <row r="11" spans="1:77">
      <c r="A11" s="19"/>
      <c r="B11" s="5"/>
      <c r="C11" s="5"/>
      <c r="D11" s="8"/>
      <c r="E11" s="5"/>
      <c r="F11" s="5"/>
      <c r="G11" s="5"/>
      <c r="H11" s="8"/>
      <c r="I11" s="8"/>
      <c r="J11" s="8"/>
      <c r="K11" s="56"/>
      <c r="L11" s="56"/>
      <c r="M11" s="56"/>
      <c r="N11" s="56"/>
      <c r="O11" s="56"/>
      <c r="P11" s="56"/>
      <c r="Q11" s="56"/>
      <c r="R11" s="8"/>
      <c r="S11" s="8"/>
      <c r="T11" s="8"/>
      <c r="U11" s="8"/>
      <c r="V11" s="8"/>
      <c r="W11" s="23"/>
      <c r="X11" s="8" t="s">
        <v>0</v>
      </c>
      <c r="Y11" s="25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10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19"/>
      <c r="BK11" s="8"/>
      <c r="BL11" s="8"/>
      <c r="BM11" s="8"/>
      <c r="BN11" s="8"/>
      <c r="BO11" s="8"/>
      <c r="BP11" s="5"/>
      <c r="BQ11" s="5"/>
      <c r="BR11" s="5"/>
      <c r="BS11" s="5"/>
      <c r="BT11" s="5"/>
      <c r="BU11" s="5"/>
      <c r="BV11" s="5"/>
      <c r="BW11" s="5"/>
      <c r="BX11" s="5"/>
      <c r="BY11" s="5"/>
    </row>
    <row r="12" spans="1:77">
      <c r="A12" s="1">
        <v>1</v>
      </c>
      <c r="B12" s="1" t="s">
        <v>87</v>
      </c>
      <c r="C12" s="7" t="s">
        <v>333</v>
      </c>
      <c r="D12" s="1" t="s">
        <v>534</v>
      </c>
      <c r="E12" s="1" t="s">
        <v>559</v>
      </c>
      <c r="F12" s="7"/>
      <c r="G12" s="7" t="s">
        <v>558</v>
      </c>
      <c r="H12" s="10">
        <v>3888688</v>
      </c>
      <c r="I12" s="10">
        <v>3891625</v>
      </c>
      <c r="J12" s="10">
        <v>109211</v>
      </c>
      <c r="K12" s="48">
        <v>0</v>
      </c>
      <c r="L12" s="48">
        <v>659510</v>
      </c>
      <c r="M12" s="48">
        <v>470711</v>
      </c>
      <c r="N12" s="48">
        <v>0</v>
      </c>
      <c r="O12" s="48">
        <v>0</v>
      </c>
      <c r="P12" s="48">
        <v>667176</v>
      </c>
      <c r="Q12" s="48">
        <v>0</v>
      </c>
      <c r="R12" s="10">
        <v>1445021</v>
      </c>
      <c r="S12" s="10">
        <v>96510</v>
      </c>
      <c r="T12" s="10">
        <v>0</v>
      </c>
      <c r="U12" s="10">
        <v>0</v>
      </c>
      <c r="V12" s="10">
        <v>3603009</v>
      </c>
      <c r="W12" s="12">
        <v>0.1389</v>
      </c>
      <c r="X12" s="10">
        <v>0</v>
      </c>
      <c r="Y12" s="22">
        <f>252982/3602994</f>
        <v>7.0214382816069079E-2</v>
      </c>
      <c r="Z12" s="10">
        <v>252194</v>
      </c>
      <c r="AA12" s="10">
        <v>0</v>
      </c>
      <c r="AB12" s="10">
        <f>2094+151+66</f>
        <v>2311</v>
      </c>
      <c r="AC12" s="10">
        <v>49924</v>
      </c>
      <c r="AD12" s="10">
        <v>4555</v>
      </c>
      <c r="AE12" s="10">
        <v>13250</v>
      </c>
      <c r="AF12" s="10">
        <v>9793</v>
      </c>
      <c r="AG12" s="10">
        <v>2625</v>
      </c>
      <c r="AH12" s="10">
        <v>5300</v>
      </c>
      <c r="AI12" s="10">
        <v>0</v>
      </c>
      <c r="AJ12" s="10">
        <v>0</v>
      </c>
      <c r="AK12" s="10">
        <f>2085+4839+2331</f>
        <v>9255</v>
      </c>
      <c r="AL12" s="10">
        <v>0</v>
      </c>
      <c r="AM12" s="10">
        <v>1402</v>
      </c>
      <c r="AN12" s="10">
        <v>3578</v>
      </c>
      <c r="AO12" s="10">
        <v>89711</v>
      </c>
      <c r="AP12" s="10">
        <v>111011</v>
      </c>
      <c r="AQ12" s="10">
        <v>121223</v>
      </c>
      <c r="AR12" s="12">
        <f t="shared" ref="AR12:AR35" si="5">AO12/AP12</f>
        <v>0.80812712253740615</v>
      </c>
      <c r="AS12" s="10">
        <v>0</v>
      </c>
      <c r="AT12" s="10">
        <v>0</v>
      </c>
      <c r="AU12" s="10">
        <v>139662</v>
      </c>
      <c r="AV12" s="10">
        <v>0</v>
      </c>
      <c r="AW12" s="10">
        <v>6540</v>
      </c>
      <c r="AX12" s="10">
        <v>0</v>
      </c>
      <c r="AY12" s="10">
        <v>0</v>
      </c>
      <c r="AZ12" s="10">
        <v>0</v>
      </c>
      <c r="BA12" s="10">
        <v>539</v>
      </c>
      <c r="BB12" s="10">
        <v>313</v>
      </c>
      <c r="BC12" s="10">
        <v>4</v>
      </c>
      <c r="BD12" s="10">
        <v>17</v>
      </c>
      <c r="BE12" s="10">
        <v>-75</v>
      </c>
      <c r="BF12" s="10">
        <v>-103</v>
      </c>
      <c r="BG12" s="10">
        <v>-64</v>
      </c>
      <c r="BH12" s="10">
        <v>0</v>
      </c>
      <c r="BI12" s="10">
        <f t="shared" ref="BI12:BI43" si="6">SUM(BA12:BH12)</f>
        <v>631</v>
      </c>
      <c r="BJ12" s="1">
        <v>5</v>
      </c>
      <c r="BK12" s="1">
        <v>36</v>
      </c>
      <c r="BL12" s="1">
        <v>9</v>
      </c>
      <c r="BM12" s="1">
        <v>13</v>
      </c>
      <c r="BN12" s="1">
        <v>0</v>
      </c>
      <c r="BO12" s="1">
        <v>6</v>
      </c>
      <c r="BP12" s="1">
        <v>0</v>
      </c>
      <c r="BQ12" s="1">
        <v>1</v>
      </c>
      <c r="BR12" s="1">
        <v>10</v>
      </c>
      <c r="BS12" s="1">
        <v>36</v>
      </c>
      <c r="BT12" s="1">
        <v>2</v>
      </c>
      <c r="BU12" s="1">
        <v>0</v>
      </c>
      <c r="BV12" s="1">
        <v>2</v>
      </c>
      <c r="BW12" s="1">
        <v>9</v>
      </c>
      <c r="BX12" s="1">
        <v>34</v>
      </c>
      <c r="BY12" s="1">
        <v>11</v>
      </c>
    </row>
    <row r="13" spans="1:77">
      <c r="A13" s="1">
        <v>1</v>
      </c>
      <c r="B13" s="1" t="s">
        <v>231</v>
      </c>
      <c r="C13" s="7" t="s">
        <v>518</v>
      </c>
      <c r="D13" s="1" t="s">
        <v>98</v>
      </c>
      <c r="E13" s="1" t="s">
        <v>415</v>
      </c>
      <c r="F13" s="7"/>
      <c r="G13" s="7" t="s">
        <v>400</v>
      </c>
      <c r="H13" s="10">
        <v>4620600</v>
      </c>
      <c r="I13" s="10">
        <v>4657752</v>
      </c>
      <c r="J13" s="10">
        <v>320070</v>
      </c>
      <c r="K13" s="48">
        <v>6811</v>
      </c>
      <c r="L13" s="48">
        <v>0</v>
      </c>
      <c r="M13" s="48">
        <v>2273717</v>
      </c>
      <c r="N13" s="48">
        <v>0</v>
      </c>
      <c r="O13" s="48">
        <v>0</v>
      </c>
      <c r="P13" s="48">
        <v>558393</v>
      </c>
      <c r="Q13" s="48">
        <v>0</v>
      </c>
      <c r="R13" s="10">
        <v>1388892</v>
      </c>
      <c r="S13" s="10">
        <v>275883</v>
      </c>
      <c r="T13" s="10">
        <v>0</v>
      </c>
      <c r="U13" s="10">
        <v>0</v>
      </c>
      <c r="V13" s="10">
        <v>5007636</v>
      </c>
      <c r="W13" s="12">
        <v>0.22</v>
      </c>
      <c r="X13" s="10">
        <v>0</v>
      </c>
      <c r="Y13" s="22">
        <f>320273/5004261</f>
        <v>6.4000059149592711E-2</v>
      </c>
      <c r="Z13" s="10">
        <v>317615</v>
      </c>
      <c r="AA13" s="10">
        <v>0</v>
      </c>
      <c r="AB13" s="10">
        <f>13495+213+220</f>
        <v>13928</v>
      </c>
      <c r="AC13" s="10">
        <v>87264</v>
      </c>
      <c r="AD13" s="10">
        <v>8953</v>
      </c>
      <c r="AE13" s="10">
        <v>11531</v>
      </c>
      <c r="AF13" s="10">
        <f>23875+2609</f>
        <v>26484</v>
      </c>
      <c r="AG13" s="10">
        <v>0</v>
      </c>
      <c r="AH13" s="10">
        <v>12297</v>
      </c>
      <c r="AI13" s="10">
        <v>0</v>
      </c>
      <c r="AJ13" s="10">
        <v>0</v>
      </c>
      <c r="AK13" s="10">
        <f>6978+5192+6023</f>
        <v>18193</v>
      </c>
      <c r="AL13" s="10">
        <v>7090</v>
      </c>
      <c r="AM13" s="10">
        <v>0</v>
      </c>
      <c r="AN13" s="10">
        <v>0</v>
      </c>
      <c r="AO13" s="10">
        <v>0</v>
      </c>
      <c r="AP13" s="10">
        <v>199102</v>
      </c>
      <c r="AQ13" s="10">
        <v>217778</v>
      </c>
      <c r="AR13" s="12">
        <f t="shared" si="5"/>
        <v>0</v>
      </c>
      <c r="AS13" s="10">
        <v>0</v>
      </c>
      <c r="AT13" s="10">
        <v>0</v>
      </c>
      <c r="AU13" s="10">
        <v>139662</v>
      </c>
      <c r="AV13" s="10">
        <v>0</v>
      </c>
      <c r="AW13" s="10">
        <v>16657</v>
      </c>
      <c r="AX13" s="10">
        <v>0</v>
      </c>
      <c r="AY13" s="10">
        <v>0</v>
      </c>
      <c r="AZ13" s="10">
        <v>0</v>
      </c>
      <c r="BA13" s="10">
        <v>968</v>
      </c>
      <c r="BB13" s="10">
        <v>292</v>
      </c>
      <c r="BC13" s="10">
        <v>0</v>
      </c>
      <c r="BD13" s="10">
        <v>4</v>
      </c>
      <c r="BE13" s="10">
        <v>-93</v>
      </c>
      <c r="BF13" s="10">
        <v>-116</v>
      </c>
      <c r="BG13" s="10">
        <v>-141</v>
      </c>
      <c r="BH13" s="10">
        <v>-3</v>
      </c>
      <c r="BI13" s="10">
        <f t="shared" si="6"/>
        <v>911</v>
      </c>
      <c r="BJ13" s="1">
        <v>1</v>
      </c>
      <c r="BK13" s="1">
        <v>33</v>
      </c>
      <c r="BL13" s="1">
        <v>22</v>
      </c>
      <c r="BM13" s="1">
        <v>86</v>
      </c>
      <c r="BN13" s="1">
        <v>0</v>
      </c>
      <c r="BO13" s="1">
        <v>0</v>
      </c>
      <c r="BP13" s="1" t="s">
        <v>453</v>
      </c>
      <c r="BQ13" s="1" t="s">
        <v>453</v>
      </c>
      <c r="BR13" s="1" t="s">
        <v>453</v>
      </c>
      <c r="BS13" s="1" t="s">
        <v>453</v>
      </c>
      <c r="BT13" s="1" t="s">
        <v>453</v>
      </c>
      <c r="BU13" s="1" t="s">
        <v>453</v>
      </c>
      <c r="BV13" s="1" t="s">
        <v>453</v>
      </c>
      <c r="BW13" s="1" t="s">
        <v>453</v>
      </c>
      <c r="BX13" s="1" t="s">
        <v>453</v>
      </c>
      <c r="BY13" s="1" t="s">
        <v>453</v>
      </c>
    </row>
    <row r="14" spans="1:77">
      <c r="A14" s="1">
        <v>1</v>
      </c>
      <c r="B14" s="1" t="s">
        <v>504</v>
      </c>
      <c r="C14" s="7" t="s">
        <v>181</v>
      </c>
      <c r="D14" s="1" t="s">
        <v>712</v>
      </c>
      <c r="E14" s="1" t="s">
        <v>396</v>
      </c>
      <c r="F14" s="7"/>
      <c r="G14" s="7" t="s">
        <v>410</v>
      </c>
      <c r="H14" s="10">
        <v>9587712</v>
      </c>
      <c r="I14" s="10">
        <v>9658132</v>
      </c>
      <c r="J14" s="10">
        <v>465485</v>
      </c>
      <c r="K14" s="48">
        <v>0</v>
      </c>
      <c r="L14" s="48">
        <v>25581</v>
      </c>
      <c r="M14" s="48">
        <v>287438</v>
      </c>
      <c r="N14" s="48">
        <v>3631536</v>
      </c>
      <c r="O14" s="48">
        <v>0</v>
      </c>
      <c r="P14" s="48">
        <v>68887</v>
      </c>
      <c r="Q14" s="48">
        <v>1276785</v>
      </c>
      <c r="R14" s="10">
        <v>2782731</v>
      </c>
      <c r="S14" s="10">
        <v>382639</v>
      </c>
      <c r="T14" s="10">
        <v>16116</v>
      </c>
      <c r="U14" s="10">
        <v>0</v>
      </c>
      <c r="V14" s="10">
        <v>9064259</v>
      </c>
      <c r="W14" s="12">
        <v>0.1762</v>
      </c>
      <c r="X14" s="10">
        <v>0</v>
      </c>
      <c r="Y14" s="22">
        <f>523982/9048143</f>
        <v>5.791044637557121E-2</v>
      </c>
      <c r="Z14" s="10">
        <v>519675</v>
      </c>
      <c r="AA14" s="10">
        <v>0</v>
      </c>
      <c r="AB14" s="10">
        <f>69175+6201+527</f>
        <v>75903</v>
      </c>
      <c r="AC14" s="10">
        <v>248330</v>
      </c>
      <c r="AD14" s="10">
        <v>22805</v>
      </c>
      <c r="AE14" s="10">
        <v>25334</v>
      </c>
      <c r="AF14" s="10">
        <v>24758</v>
      </c>
      <c r="AG14" s="10">
        <v>7705</v>
      </c>
      <c r="AH14" s="10">
        <v>66383</v>
      </c>
      <c r="AI14" s="10">
        <v>0</v>
      </c>
      <c r="AJ14" s="10">
        <v>0</v>
      </c>
      <c r="AK14" s="10">
        <f>5395+16586+8645</f>
        <v>30626</v>
      </c>
      <c r="AL14" s="10">
        <v>6100</v>
      </c>
      <c r="AM14" s="10">
        <v>2493</v>
      </c>
      <c r="AN14" s="10">
        <v>910</v>
      </c>
      <c r="AO14" s="10">
        <v>0</v>
      </c>
      <c r="AP14" s="10">
        <v>474460</v>
      </c>
      <c r="AQ14" s="10">
        <v>460912</v>
      </c>
      <c r="AR14" s="12">
        <f t="shared" si="5"/>
        <v>0</v>
      </c>
      <c r="AS14" s="10">
        <v>97</v>
      </c>
      <c r="AT14" s="10">
        <v>0</v>
      </c>
      <c r="AU14" s="10">
        <v>139654</v>
      </c>
      <c r="AV14" s="10">
        <v>0</v>
      </c>
      <c r="AW14" s="10">
        <v>54815</v>
      </c>
      <c r="AX14" s="10">
        <v>0</v>
      </c>
      <c r="AY14" s="10">
        <v>0</v>
      </c>
      <c r="AZ14" s="10">
        <v>0</v>
      </c>
      <c r="BA14" s="10">
        <v>2039</v>
      </c>
      <c r="BB14" s="10">
        <v>718</v>
      </c>
      <c r="BC14" s="10">
        <v>135</v>
      </c>
      <c r="BD14" s="10">
        <v>0</v>
      </c>
      <c r="BE14" s="10">
        <v>-137</v>
      </c>
      <c r="BF14" s="10">
        <v>-504</v>
      </c>
      <c r="BG14" s="10">
        <v>-342</v>
      </c>
      <c r="BH14" s="10">
        <v>0</v>
      </c>
      <c r="BI14" s="10">
        <f t="shared" si="6"/>
        <v>1909</v>
      </c>
      <c r="BJ14" s="1">
        <v>11</v>
      </c>
      <c r="BK14" s="1">
        <v>73</v>
      </c>
      <c r="BL14" s="1">
        <v>35</v>
      </c>
      <c r="BM14" s="1">
        <v>190</v>
      </c>
      <c r="BN14" s="1">
        <v>4</v>
      </c>
      <c r="BO14" s="1">
        <v>3</v>
      </c>
      <c r="BP14" s="1">
        <v>22</v>
      </c>
      <c r="BQ14" s="1">
        <v>10</v>
      </c>
      <c r="BR14" s="1">
        <v>0</v>
      </c>
      <c r="BS14" s="1">
        <v>0</v>
      </c>
      <c r="BT14" s="1">
        <v>0</v>
      </c>
      <c r="BU14" s="1">
        <v>83</v>
      </c>
      <c r="BV14" s="1">
        <v>17</v>
      </c>
      <c r="BW14" s="1">
        <v>138</v>
      </c>
      <c r="BX14" s="1">
        <v>10</v>
      </c>
      <c r="BY14" s="1">
        <v>1</v>
      </c>
    </row>
    <row r="15" spans="1:77">
      <c r="A15" s="1">
        <v>1</v>
      </c>
      <c r="B15" s="1" t="s">
        <v>613</v>
      </c>
      <c r="C15" s="7" t="s">
        <v>199</v>
      </c>
      <c r="D15" s="1" t="s">
        <v>83</v>
      </c>
      <c r="E15" s="1" t="s">
        <v>396</v>
      </c>
      <c r="F15" s="7"/>
      <c r="G15" s="7" t="s">
        <v>410</v>
      </c>
      <c r="H15" s="10">
        <v>21457691</v>
      </c>
      <c r="I15" s="10">
        <v>21641629</v>
      </c>
      <c r="J15" s="10">
        <v>1789377</v>
      </c>
      <c r="K15" s="48">
        <v>0</v>
      </c>
      <c r="L15" s="48">
        <v>0</v>
      </c>
      <c r="M15" s="48">
        <v>421841</v>
      </c>
      <c r="N15" s="48">
        <v>10539732</v>
      </c>
      <c r="O15" s="48">
        <v>0</v>
      </c>
      <c r="P15" s="48">
        <v>22413</v>
      </c>
      <c r="Q15" s="48">
        <v>2199113</v>
      </c>
      <c r="R15" s="10">
        <v>4953768</v>
      </c>
      <c r="S15" s="10">
        <v>579073</v>
      </c>
      <c r="T15" s="10">
        <v>67678</v>
      </c>
      <c r="U15" s="10">
        <v>0</v>
      </c>
      <c r="V15" s="10">
        <v>20052526</v>
      </c>
      <c r="W15" s="12">
        <v>0.22559999999999999</v>
      </c>
      <c r="X15" s="10">
        <v>0</v>
      </c>
      <c r="Y15" s="22">
        <f>856025/19619924</f>
        <v>4.3630393267578407E-2</v>
      </c>
      <c r="Z15" s="10">
        <v>855684</v>
      </c>
      <c r="AA15" s="10">
        <v>0</v>
      </c>
      <c r="AB15" s="10">
        <f>183938+4008</f>
        <v>187946</v>
      </c>
      <c r="AC15" s="10">
        <v>466124</v>
      </c>
      <c r="AD15" s="10">
        <v>40566</v>
      </c>
      <c r="AE15" s="10">
        <v>85802</v>
      </c>
      <c r="AF15" s="10">
        <f>142195+8358</f>
        <v>150553</v>
      </c>
      <c r="AG15" s="10">
        <v>2178</v>
      </c>
      <c r="AH15" s="10">
        <v>114860</v>
      </c>
      <c r="AI15" s="10">
        <v>12786</v>
      </c>
      <c r="AJ15" s="10">
        <v>0</v>
      </c>
      <c r="AK15" s="10">
        <f>9447+20479+14001</f>
        <v>43927</v>
      </c>
      <c r="AL15" s="10">
        <v>8805</v>
      </c>
      <c r="AM15" s="10">
        <v>10340</v>
      </c>
      <c r="AN15" s="10">
        <v>5617</v>
      </c>
      <c r="AO15" s="10">
        <v>0</v>
      </c>
      <c r="AP15" s="10">
        <v>990850</v>
      </c>
      <c r="AQ15" s="10">
        <v>960000</v>
      </c>
      <c r="AR15" s="12">
        <f t="shared" si="5"/>
        <v>0</v>
      </c>
      <c r="AS15" s="10">
        <v>0</v>
      </c>
      <c r="AT15" s="10">
        <v>0</v>
      </c>
      <c r="AU15" s="10">
        <v>139662</v>
      </c>
      <c r="AV15" s="10">
        <v>0</v>
      </c>
      <c r="AW15" s="10">
        <v>100484</v>
      </c>
      <c r="AX15" s="10">
        <v>0</v>
      </c>
      <c r="AY15" s="10">
        <v>0</v>
      </c>
      <c r="AZ15" s="10">
        <v>0</v>
      </c>
      <c r="BA15" s="10">
        <v>3387</v>
      </c>
      <c r="BB15" s="10">
        <v>1298</v>
      </c>
      <c r="BC15" s="10">
        <v>325</v>
      </c>
      <c r="BD15" s="10">
        <v>-4</v>
      </c>
      <c r="BE15" s="10">
        <v>-162</v>
      </c>
      <c r="BF15" s="10">
        <v>-1251</v>
      </c>
      <c r="BG15" s="10">
        <v>-382</v>
      </c>
      <c r="BH15" s="10">
        <v>-9</v>
      </c>
      <c r="BI15" s="10">
        <f t="shared" si="6"/>
        <v>3202</v>
      </c>
      <c r="BJ15" s="1">
        <v>107</v>
      </c>
      <c r="BK15" s="1">
        <v>112</v>
      </c>
      <c r="BL15" s="1">
        <v>30</v>
      </c>
      <c r="BM15" s="1">
        <v>213</v>
      </c>
      <c r="BN15" s="1">
        <v>11</v>
      </c>
      <c r="BO15" s="1">
        <v>16</v>
      </c>
      <c r="BP15" s="1" t="s">
        <v>453</v>
      </c>
      <c r="BQ15" s="1" t="s">
        <v>453</v>
      </c>
      <c r="BR15" s="1" t="s">
        <v>453</v>
      </c>
      <c r="BS15" s="1" t="s">
        <v>453</v>
      </c>
      <c r="BT15" s="1" t="s">
        <v>453</v>
      </c>
      <c r="BU15" s="1" t="s">
        <v>453</v>
      </c>
      <c r="BV15" s="1" t="s">
        <v>453</v>
      </c>
      <c r="BW15" s="1" t="s">
        <v>453</v>
      </c>
      <c r="BX15" s="1" t="s">
        <v>453</v>
      </c>
      <c r="BY15" s="1" t="s">
        <v>453</v>
      </c>
    </row>
    <row r="16" spans="1:77">
      <c r="A16" s="1">
        <v>1</v>
      </c>
      <c r="B16" s="1" t="s">
        <v>634</v>
      </c>
      <c r="C16" s="7" t="s">
        <v>376</v>
      </c>
      <c r="D16" s="1" t="s">
        <v>34</v>
      </c>
      <c r="E16" s="1" t="s">
        <v>470</v>
      </c>
      <c r="F16" s="7"/>
      <c r="G16" s="7" t="s">
        <v>466</v>
      </c>
      <c r="H16" s="10">
        <v>3352282</v>
      </c>
      <c r="I16" s="10">
        <v>3364005</v>
      </c>
      <c r="J16" s="10">
        <v>296706</v>
      </c>
      <c r="K16" s="48">
        <v>28537</v>
      </c>
      <c r="L16" s="48">
        <v>0</v>
      </c>
      <c r="M16" s="48">
        <v>0</v>
      </c>
      <c r="N16" s="48">
        <v>1141646</v>
      </c>
      <c r="O16" s="48">
        <v>0</v>
      </c>
      <c r="P16" s="48">
        <v>0</v>
      </c>
      <c r="Q16" s="48">
        <v>855363</v>
      </c>
      <c r="R16" s="10">
        <v>1201450</v>
      </c>
      <c r="S16" s="10">
        <v>89531</v>
      </c>
      <c r="T16" s="10">
        <v>10800</v>
      </c>
      <c r="U16" s="10">
        <v>0</v>
      </c>
      <c r="V16" s="10">
        <v>3556527</v>
      </c>
      <c r="W16" s="12">
        <v>0.17</v>
      </c>
      <c r="X16" s="10">
        <v>0</v>
      </c>
      <c r="Y16" s="22">
        <f>227353/3462182</f>
        <v>6.5667547228886292E-2</v>
      </c>
      <c r="Z16" s="10">
        <v>227655</v>
      </c>
      <c r="AA16" s="10">
        <v>0</v>
      </c>
      <c r="AB16" s="10">
        <f>11723+525+524</f>
        <v>12772</v>
      </c>
      <c r="AC16" s="10">
        <v>46966</v>
      </c>
      <c r="AD16" s="10">
        <v>4192</v>
      </c>
      <c r="AE16" s="10">
        <v>4542</v>
      </c>
      <c r="AF16" s="10">
        <f>11467+1856</f>
        <v>13323</v>
      </c>
      <c r="AG16" s="10">
        <v>0</v>
      </c>
      <c r="AH16" s="10">
        <v>5362</v>
      </c>
      <c r="AI16" s="10">
        <v>3600</v>
      </c>
      <c r="AJ16" s="10">
        <v>0</v>
      </c>
      <c r="AK16" s="10">
        <f>2374+6945+4040</f>
        <v>13359</v>
      </c>
      <c r="AL16" s="10">
        <v>3097</v>
      </c>
      <c r="AM16" s="10">
        <v>0</v>
      </c>
      <c r="AN16" s="10">
        <v>2045</v>
      </c>
      <c r="AO16" s="10">
        <v>0</v>
      </c>
      <c r="AP16" s="10">
        <v>111761</v>
      </c>
      <c r="AQ16" s="10">
        <v>119161</v>
      </c>
      <c r="AR16" s="12">
        <f t="shared" si="5"/>
        <v>0</v>
      </c>
      <c r="AS16" s="10">
        <v>0</v>
      </c>
      <c r="AT16" s="10">
        <v>0</v>
      </c>
      <c r="AU16" s="10">
        <v>139662</v>
      </c>
      <c r="AV16" s="10">
        <v>0</v>
      </c>
      <c r="AW16" s="10">
        <v>15573</v>
      </c>
      <c r="AX16" s="10">
        <v>0</v>
      </c>
      <c r="AY16" s="10">
        <v>0</v>
      </c>
      <c r="AZ16" s="10">
        <v>0</v>
      </c>
      <c r="BA16" s="10">
        <v>619</v>
      </c>
      <c r="BB16" s="10">
        <v>290</v>
      </c>
      <c r="BC16" s="10">
        <v>0</v>
      </c>
      <c r="BD16" s="10">
        <v>0</v>
      </c>
      <c r="BE16" s="10">
        <v>-76</v>
      </c>
      <c r="BF16" s="10">
        <v>-133</v>
      </c>
      <c r="BG16" s="10">
        <v>-116</v>
      </c>
      <c r="BH16" s="10">
        <v>0</v>
      </c>
      <c r="BI16" s="10">
        <f t="shared" si="6"/>
        <v>584</v>
      </c>
      <c r="BJ16" s="1">
        <v>0</v>
      </c>
      <c r="BK16" s="1">
        <v>32</v>
      </c>
      <c r="BL16" s="1">
        <v>11</v>
      </c>
      <c r="BM16" s="1">
        <v>69</v>
      </c>
      <c r="BN16" s="1">
        <v>0</v>
      </c>
      <c r="BO16" s="1">
        <v>5</v>
      </c>
      <c r="BP16" s="1" t="s">
        <v>453</v>
      </c>
      <c r="BQ16" s="1" t="s">
        <v>453</v>
      </c>
      <c r="BR16" s="1" t="s">
        <v>453</v>
      </c>
      <c r="BS16" s="1" t="s">
        <v>453</v>
      </c>
      <c r="BT16" s="1" t="s">
        <v>453</v>
      </c>
      <c r="BU16" s="1" t="s">
        <v>453</v>
      </c>
      <c r="BV16" s="1" t="s">
        <v>453</v>
      </c>
      <c r="BW16" s="1" t="s">
        <v>453</v>
      </c>
      <c r="BX16" s="1" t="s">
        <v>453</v>
      </c>
      <c r="BY16" s="1" t="s">
        <v>453</v>
      </c>
    </row>
    <row r="17" spans="1:77">
      <c r="A17" s="1">
        <v>2</v>
      </c>
      <c r="B17" s="1" t="s">
        <v>118</v>
      </c>
      <c r="C17" s="7" t="s">
        <v>39</v>
      </c>
      <c r="D17" s="1" t="s">
        <v>28</v>
      </c>
      <c r="E17" s="1" t="s">
        <v>483</v>
      </c>
      <c r="F17" s="7" t="s">
        <v>478</v>
      </c>
      <c r="G17" s="7" t="s">
        <v>469</v>
      </c>
      <c r="H17" s="10">
        <v>20026674</v>
      </c>
      <c r="I17" s="10">
        <v>20227648</v>
      </c>
      <c r="J17" s="10">
        <v>1049350</v>
      </c>
      <c r="K17" s="48">
        <v>0</v>
      </c>
      <c r="L17" s="48">
        <v>0</v>
      </c>
      <c r="M17" s="48">
        <v>0</v>
      </c>
      <c r="N17" s="48">
        <v>7482461</v>
      </c>
      <c r="O17" s="48">
        <v>0</v>
      </c>
      <c r="P17" s="48">
        <v>0</v>
      </c>
      <c r="Q17" s="48">
        <v>1758706</v>
      </c>
      <c r="R17" s="10">
        <v>6941073</v>
      </c>
      <c r="S17" s="10">
        <v>1544920</v>
      </c>
      <c r="T17" s="10">
        <v>3150</v>
      </c>
      <c r="U17" s="10">
        <v>0</v>
      </c>
      <c r="V17" s="10">
        <v>18293904</v>
      </c>
      <c r="W17" s="12">
        <v>0.27</v>
      </c>
      <c r="X17" s="10">
        <v>0</v>
      </c>
      <c r="Y17" s="22">
        <f>567659/18245912</f>
        <v>3.1111571731793949E-2</v>
      </c>
      <c r="Z17" s="10">
        <v>563592</v>
      </c>
      <c r="AA17" s="10">
        <v>0</v>
      </c>
      <c r="AB17" s="10">
        <f>200974+883</f>
        <v>201857</v>
      </c>
      <c r="AC17" s="10">
        <v>341743</v>
      </c>
      <c r="AD17" s="10">
        <v>27743</v>
      </c>
      <c r="AE17" s="10">
        <v>71999</v>
      </c>
      <c r="AF17" s="10">
        <f>60267+4779</f>
        <v>65046</v>
      </c>
      <c r="AG17" s="10">
        <v>16250</v>
      </c>
      <c r="AH17" s="10">
        <v>19364</v>
      </c>
      <c r="AI17" s="10">
        <v>1335</v>
      </c>
      <c r="AJ17" s="10">
        <v>0</v>
      </c>
      <c r="AK17" s="10">
        <f>13071+25482+22914</f>
        <v>61467</v>
      </c>
      <c r="AL17" s="10">
        <v>9024</v>
      </c>
      <c r="AM17" s="10">
        <v>5160</v>
      </c>
      <c r="AN17" s="10">
        <v>9935</v>
      </c>
      <c r="AO17" s="10">
        <v>0</v>
      </c>
      <c r="AP17" s="10">
        <v>677627</v>
      </c>
      <c r="AQ17" s="10">
        <v>709962</v>
      </c>
      <c r="AR17" s="12">
        <f t="shared" si="5"/>
        <v>0</v>
      </c>
      <c r="AS17" s="10">
        <v>0</v>
      </c>
      <c r="AT17" s="10">
        <v>0</v>
      </c>
      <c r="AU17" s="10">
        <v>139662</v>
      </c>
      <c r="AV17" s="10">
        <v>0</v>
      </c>
      <c r="AW17" s="10">
        <v>46178</v>
      </c>
      <c r="AX17" s="10">
        <v>0</v>
      </c>
      <c r="AY17" s="10">
        <v>0</v>
      </c>
      <c r="AZ17" s="10">
        <v>0</v>
      </c>
      <c r="BA17" s="10">
        <v>4646</v>
      </c>
      <c r="BB17" s="10">
        <v>1536</v>
      </c>
      <c r="BC17" s="10">
        <v>71</v>
      </c>
      <c r="BD17" s="10">
        <v>-2</v>
      </c>
      <c r="BE17" s="10">
        <v>-288</v>
      </c>
      <c r="BF17" s="10">
        <v>-640</v>
      </c>
      <c r="BG17" s="10">
        <v>-508</v>
      </c>
      <c r="BH17" s="10">
        <v>-2</v>
      </c>
      <c r="BI17" s="10">
        <f t="shared" si="6"/>
        <v>4813</v>
      </c>
      <c r="BJ17" s="1">
        <v>31</v>
      </c>
      <c r="BK17" s="1">
        <v>120</v>
      </c>
      <c r="BL17" s="1">
        <v>70</v>
      </c>
      <c r="BM17" s="1">
        <v>286</v>
      </c>
      <c r="BN17" s="1">
        <v>0</v>
      </c>
      <c r="BO17" s="1">
        <v>32</v>
      </c>
      <c r="BP17" s="1" t="s">
        <v>453</v>
      </c>
      <c r="BQ17" s="1" t="s">
        <v>453</v>
      </c>
      <c r="BR17" s="1" t="s">
        <v>453</v>
      </c>
      <c r="BS17" s="1" t="s">
        <v>453</v>
      </c>
      <c r="BT17" s="1" t="s">
        <v>453</v>
      </c>
      <c r="BU17" s="1" t="s">
        <v>453</v>
      </c>
      <c r="BV17" s="1" t="s">
        <v>453</v>
      </c>
      <c r="BW17" s="1" t="s">
        <v>453</v>
      </c>
      <c r="BX17" s="1" t="s">
        <v>453</v>
      </c>
      <c r="BY17" s="1" t="s">
        <v>453</v>
      </c>
    </row>
    <row r="18" spans="1:77">
      <c r="A18" s="1">
        <v>2</v>
      </c>
      <c r="B18" s="1" t="s">
        <v>184</v>
      </c>
      <c r="C18" s="7" t="s">
        <v>405</v>
      </c>
      <c r="D18" s="1" t="s">
        <v>431</v>
      </c>
      <c r="E18" s="1" t="s">
        <v>483</v>
      </c>
      <c r="F18" s="7" t="s">
        <v>205</v>
      </c>
      <c r="G18" s="7" t="s">
        <v>469</v>
      </c>
      <c r="H18" s="10">
        <v>15640361</v>
      </c>
      <c r="I18" s="10">
        <v>15742332</v>
      </c>
      <c r="J18" s="10">
        <v>1274810</v>
      </c>
      <c r="K18" s="48">
        <v>0</v>
      </c>
      <c r="L18" s="48">
        <v>0</v>
      </c>
      <c r="M18" s="48">
        <v>1079690</v>
      </c>
      <c r="N18" s="48">
        <v>7542567</v>
      </c>
      <c r="O18" s="48">
        <v>0</v>
      </c>
      <c r="P18" s="48">
        <v>129218</v>
      </c>
      <c r="Q18" s="48">
        <v>797879</v>
      </c>
      <c r="R18" s="10">
        <v>3588002</v>
      </c>
      <c r="S18" s="10">
        <v>273463</v>
      </c>
      <c r="T18" s="10">
        <v>37839</v>
      </c>
      <c r="U18" s="10">
        <v>0</v>
      </c>
      <c r="V18" s="10">
        <v>14192388</v>
      </c>
      <c r="W18" s="12">
        <v>0.17</v>
      </c>
      <c r="X18" s="10">
        <v>0</v>
      </c>
      <c r="Y18" s="22">
        <f>751107/14154549</f>
        <v>5.3064707324832462E-2</v>
      </c>
      <c r="Z18" s="10">
        <v>743730</v>
      </c>
      <c r="AA18" s="10">
        <v>0</v>
      </c>
      <c r="AB18" s="10">
        <f>101971+967</f>
        <v>102938</v>
      </c>
      <c r="AC18" s="10">
        <v>359900</v>
      </c>
      <c r="AD18" s="10">
        <v>29096</v>
      </c>
      <c r="AE18" s="10">
        <v>45835</v>
      </c>
      <c r="AF18" s="10">
        <f>60587+4760</f>
        <v>65347</v>
      </c>
      <c r="AG18" s="10">
        <v>25005</v>
      </c>
      <c r="AH18" s="10">
        <v>94303</v>
      </c>
      <c r="AI18" s="10">
        <v>14758</v>
      </c>
      <c r="AJ18" s="10">
        <v>0</v>
      </c>
      <c r="AK18" s="10">
        <f>8740+12692+13537</f>
        <v>34969</v>
      </c>
      <c r="AL18" s="10">
        <v>5893</v>
      </c>
      <c r="AM18" s="10">
        <v>13049</v>
      </c>
      <c r="AN18" s="10">
        <v>3194</v>
      </c>
      <c r="AO18" s="10">
        <v>0</v>
      </c>
      <c r="AP18" s="10">
        <v>713103</v>
      </c>
      <c r="AQ18" s="10">
        <v>731750</v>
      </c>
      <c r="AR18" s="12">
        <f t="shared" si="5"/>
        <v>0</v>
      </c>
      <c r="AS18" s="10">
        <v>1578</v>
      </c>
      <c r="AT18" s="10">
        <v>0</v>
      </c>
      <c r="AU18" s="10">
        <v>139662</v>
      </c>
      <c r="AV18" s="10">
        <v>0</v>
      </c>
      <c r="AW18" s="10">
        <v>76267</v>
      </c>
      <c r="AX18" s="10">
        <v>0</v>
      </c>
      <c r="AY18" s="10">
        <v>0</v>
      </c>
      <c r="AZ18" s="10">
        <v>0</v>
      </c>
      <c r="BA18" s="10">
        <v>2412</v>
      </c>
      <c r="BB18" s="10">
        <v>1940</v>
      </c>
      <c r="BC18" s="10">
        <v>446</v>
      </c>
      <c r="BD18" s="10">
        <v>-13</v>
      </c>
      <c r="BE18" s="10">
        <v>-72</v>
      </c>
      <c r="BF18" s="10">
        <v>-2069</v>
      </c>
      <c r="BG18" s="10">
        <v>-288</v>
      </c>
      <c r="BH18" s="10">
        <v>0</v>
      </c>
      <c r="BI18" s="10">
        <f t="shared" si="6"/>
        <v>2356</v>
      </c>
      <c r="BJ18" s="1">
        <v>0</v>
      </c>
      <c r="BK18" s="1">
        <v>124</v>
      </c>
      <c r="BL18" s="1">
        <v>10</v>
      </c>
      <c r="BM18" s="1">
        <v>123</v>
      </c>
      <c r="BN18" s="1">
        <v>4</v>
      </c>
      <c r="BO18" s="1">
        <v>27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</row>
    <row r="19" spans="1:77">
      <c r="A19" s="1">
        <v>2</v>
      </c>
      <c r="B19" s="1" t="s">
        <v>257</v>
      </c>
      <c r="C19" s="7" t="s">
        <v>632</v>
      </c>
      <c r="D19" s="1" t="s">
        <v>254</v>
      </c>
      <c r="E19" s="1" t="s">
        <v>483</v>
      </c>
      <c r="F19" s="7" t="s">
        <v>205</v>
      </c>
      <c r="G19" s="7" t="s">
        <v>469</v>
      </c>
      <c r="H19" s="10">
        <v>7478217</v>
      </c>
      <c r="I19" s="10">
        <v>7499594</v>
      </c>
      <c r="J19" s="10">
        <v>1087342</v>
      </c>
      <c r="K19" s="48">
        <v>0</v>
      </c>
      <c r="L19" s="48">
        <v>728551</v>
      </c>
      <c r="M19" s="48">
        <v>3175810</v>
      </c>
      <c r="N19" s="48">
        <v>0</v>
      </c>
      <c r="O19" s="48">
        <v>0</v>
      </c>
      <c r="P19" s="48">
        <v>307912</v>
      </c>
      <c r="Q19" s="48">
        <v>0</v>
      </c>
      <c r="R19" s="10">
        <v>1541167</v>
      </c>
      <c r="S19" s="10">
        <v>135141</v>
      </c>
      <c r="T19" s="10">
        <v>31135</v>
      </c>
      <c r="U19" s="10">
        <v>0</v>
      </c>
      <c r="V19" s="10">
        <v>6452249</v>
      </c>
      <c r="W19" s="12">
        <v>0.14000000000000001</v>
      </c>
      <c r="X19" s="10">
        <v>0</v>
      </c>
      <c r="Y19" s="22">
        <f>532768/6342476</f>
        <v>8.4000002522674116E-2</v>
      </c>
      <c r="Z19" s="10">
        <v>532413</v>
      </c>
      <c r="AA19" s="10">
        <v>0</v>
      </c>
      <c r="AB19" s="10">
        <f>12653+7330+315</f>
        <v>20298</v>
      </c>
      <c r="AC19" s="10">
        <v>193820</v>
      </c>
      <c r="AD19" s="10">
        <v>18334</v>
      </c>
      <c r="AE19" s="10">
        <v>53960</v>
      </c>
      <c r="AF19" s="10">
        <v>42267</v>
      </c>
      <c r="AG19" s="10">
        <v>17125</v>
      </c>
      <c r="AH19" s="10">
        <v>14138</v>
      </c>
      <c r="AI19" s="10">
        <v>10487</v>
      </c>
      <c r="AJ19" s="10">
        <v>0</v>
      </c>
      <c r="AK19" s="10">
        <f>10452+17494+8490</f>
        <v>36436</v>
      </c>
      <c r="AL19" s="10">
        <v>6997</v>
      </c>
      <c r="AM19" s="10">
        <v>10501</v>
      </c>
      <c r="AN19" s="10">
        <v>10806</v>
      </c>
      <c r="AO19" s="10">
        <v>0</v>
      </c>
      <c r="AP19" s="10">
        <v>439179</v>
      </c>
      <c r="AQ19" s="10">
        <v>467379</v>
      </c>
      <c r="AR19" s="12">
        <f t="shared" si="5"/>
        <v>0</v>
      </c>
      <c r="AS19" s="10">
        <v>0</v>
      </c>
      <c r="AT19" s="10">
        <v>0</v>
      </c>
      <c r="AU19" s="10">
        <v>139662</v>
      </c>
      <c r="AV19" s="10">
        <v>0</v>
      </c>
      <c r="AW19" s="10">
        <v>75012</v>
      </c>
      <c r="AX19" s="10">
        <v>352</v>
      </c>
      <c r="AY19" s="10">
        <v>352</v>
      </c>
      <c r="AZ19" s="10">
        <v>0</v>
      </c>
      <c r="BA19" s="10">
        <v>1034</v>
      </c>
      <c r="BB19" s="10">
        <v>1316</v>
      </c>
      <c r="BC19" s="10">
        <v>1</v>
      </c>
      <c r="BD19" s="10">
        <f>6+15</f>
        <v>21</v>
      </c>
      <c r="BE19" s="10">
        <v>-53</v>
      </c>
      <c r="BF19" s="10">
        <v>-981</v>
      </c>
      <c r="BG19" s="10">
        <v>-88</v>
      </c>
      <c r="BH19" s="10">
        <v>0</v>
      </c>
      <c r="BI19" s="10">
        <f t="shared" si="6"/>
        <v>1250</v>
      </c>
      <c r="BJ19" s="1">
        <v>10</v>
      </c>
      <c r="BK19" s="1">
        <v>54</v>
      </c>
      <c r="BL19" s="1">
        <v>5</v>
      </c>
      <c r="BM19" s="1">
        <v>11</v>
      </c>
      <c r="BN19" s="1">
        <v>0</v>
      </c>
      <c r="BO19" s="1">
        <v>18</v>
      </c>
      <c r="BP19" s="1" t="s">
        <v>453</v>
      </c>
      <c r="BQ19" s="1" t="s">
        <v>453</v>
      </c>
      <c r="BR19" s="1" t="s">
        <v>453</v>
      </c>
      <c r="BS19" s="1" t="s">
        <v>453</v>
      </c>
      <c r="BT19" s="1" t="s">
        <v>453</v>
      </c>
      <c r="BU19" s="1" t="s">
        <v>453</v>
      </c>
      <c r="BV19" s="1" t="s">
        <v>453</v>
      </c>
      <c r="BW19" s="1" t="s">
        <v>453</v>
      </c>
      <c r="BX19" s="1" t="s">
        <v>453</v>
      </c>
      <c r="BY19" s="1" t="s">
        <v>453</v>
      </c>
    </row>
    <row r="20" spans="1:77">
      <c r="A20" s="1">
        <v>2</v>
      </c>
      <c r="B20" s="1" t="s">
        <v>397</v>
      </c>
      <c r="C20" s="7" t="s">
        <v>424</v>
      </c>
      <c r="D20" s="1" t="s">
        <v>304</v>
      </c>
      <c r="E20" s="1" t="s">
        <v>483</v>
      </c>
      <c r="F20" s="7" t="s">
        <v>205</v>
      </c>
      <c r="G20" s="7" t="s">
        <v>469</v>
      </c>
      <c r="H20" s="10">
        <v>9077440</v>
      </c>
      <c r="I20" s="10">
        <v>9101362</v>
      </c>
      <c r="J20" s="10">
        <v>1081649</v>
      </c>
      <c r="K20" s="48">
        <v>0</v>
      </c>
      <c r="L20" s="48">
        <v>0</v>
      </c>
      <c r="M20" s="48">
        <v>5054244</v>
      </c>
      <c r="N20" s="48">
        <v>0</v>
      </c>
      <c r="O20" s="48">
        <v>0</v>
      </c>
      <c r="P20" s="48">
        <v>344094</v>
      </c>
      <c r="Q20" s="48">
        <v>0</v>
      </c>
      <c r="R20" s="10">
        <v>1992717</v>
      </c>
      <c r="S20" s="10">
        <v>142367</v>
      </c>
      <c r="T20" s="10">
        <v>18500</v>
      </c>
      <c r="U20" s="10">
        <v>0</v>
      </c>
      <c r="V20" s="10">
        <v>8066597</v>
      </c>
      <c r="W20" s="12">
        <v>0.14000000000000001</v>
      </c>
      <c r="X20" s="10">
        <v>0</v>
      </c>
      <c r="Y20" s="22">
        <f>482886/8048097</f>
        <v>6.0000022365535602E-2</v>
      </c>
      <c r="Z20" s="10">
        <v>481781</v>
      </c>
      <c r="AA20" s="10">
        <v>0</v>
      </c>
      <c r="AB20" s="10">
        <f>23921+602</f>
        <v>24523</v>
      </c>
      <c r="AC20" s="10">
        <v>174741</v>
      </c>
      <c r="AD20" s="10">
        <v>14905</v>
      </c>
      <c r="AE20" s="10">
        <v>19808</v>
      </c>
      <c r="AF20" s="10">
        <v>50900</v>
      </c>
      <c r="AG20" s="10">
        <v>20799</v>
      </c>
      <c r="AH20" s="10">
        <v>26509</v>
      </c>
      <c r="AI20" s="10">
        <v>1431</v>
      </c>
      <c r="AJ20" s="10">
        <v>0</v>
      </c>
      <c r="AK20" s="10">
        <f>8906+16989+18000</f>
        <v>43895</v>
      </c>
      <c r="AL20" s="10">
        <v>6711</v>
      </c>
      <c r="AM20" s="10">
        <v>0</v>
      </c>
      <c r="AN20" s="10">
        <v>6000</v>
      </c>
      <c r="AO20" s="10">
        <v>50900</v>
      </c>
      <c r="AP20" s="10">
        <v>400729</v>
      </c>
      <c r="AQ20" s="10">
        <v>541888</v>
      </c>
      <c r="AR20" s="12">
        <f t="shared" si="5"/>
        <v>0.12701850876777074</v>
      </c>
      <c r="AS20" s="10">
        <v>620</v>
      </c>
      <c r="AT20" s="10">
        <v>0</v>
      </c>
      <c r="AU20" s="10">
        <v>139662</v>
      </c>
      <c r="AV20" s="10">
        <v>0</v>
      </c>
      <c r="AW20" s="10">
        <v>55095</v>
      </c>
      <c r="AX20" s="10">
        <v>0</v>
      </c>
      <c r="AY20" s="10">
        <v>0</v>
      </c>
      <c r="AZ20" s="10">
        <v>0</v>
      </c>
      <c r="BA20" s="10">
        <v>1263</v>
      </c>
      <c r="BB20" s="10">
        <v>1436</v>
      </c>
      <c r="BC20" s="10">
        <v>55</v>
      </c>
      <c r="BD20" s="10">
        <v>-40</v>
      </c>
      <c r="BE20" s="10">
        <v>-20</v>
      </c>
      <c r="BF20" s="10">
        <v>-968</v>
      </c>
      <c r="BG20" s="10">
        <v>-131</v>
      </c>
      <c r="BH20" s="10">
        <v>0</v>
      </c>
      <c r="BI20" s="10">
        <f t="shared" si="6"/>
        <v>1595</v>
      </c>
      <c r="BJ20" s="1">
        <v>0</v>
      </c>
      <c r="BK20" s="1">
        <v>58</v>
      </c>
      <c r="BL20" s="1">
        <v>17</v>
      </c>
      <c r="BM20" s="1">
        <v>31</v>
      </c>
      <c r="BN20" s="1">
        <v>0</v>
      </c>
      <c r="BO20" s="1">
        <v>25</v>
      </c>
      <c r="BP20" s="1" t="s">
        <v>453</v>
      </c>
      <c r="BQ20" s="1" t="s">
        <v>453</v>
      </c>
      <c r="BR20" s="1" t="s">
        <v>453</v>
      </c>
      <c r="BS20" s="1" t="s">
        <v>453</v>
      </c>
      <c r="BT20" s="1" t="s">
        <v>453</v>
      </c>
      <c r="BU20" s="1" t="s">
        <v>453</v>
      </c>
      <c r="BV20" s="1" t="s">
        <v>453</v>
      </c>
      <c r="BW20" s="1" t="s">
        <v>453</v>
      </c>
      <c r="BX20" s="1" t="s">
        <v>453</v>
      </c>
      <c r="BY20" s="1" t="s">
        <v>453</v>
      </c>
    </row>
    <row r="21" spans="1:77">
      <c r="A21" s="1">
        <v>2</v>
      </c>
      <c r="B21" s="1" t="s">
        <v>441</v>
      </c>
      <c r="C21" s="7" t="s">
        <v>29</v>
      </c>
      <c r="D21" s="1" t="s">
        <v>99</v>
      </c>
      <c r="E21" s="1" t="s">
        <v>483</v>
      </c>
      <c r="F21" s="7" t="s">
        <v>695</v>
      </c>
      <c r="G21" s="7" t="s">
        <v>469</v>
      </c>
      <c r="H21" s="10">
        <v>24070783</v>
      </c>
      <c r="I21" s="10">
        <v>24131888</v>
      </c>
      <c r="J21" s="10">
        <v>493364</v>
      </c>
      <c r="K21" s="48">
        <v>0</v>
      </c>
      <c r="L21" s="48">
        <v>0</v>
      </c>
      <c r="M21" s="48">
        <v>1568946</v>
      </c>
      <c r="N21" s="48">
        <v>10755411</v>
      </c>
      <c r="O21" s="48">
        <v>0</v>
      </c>
      <c r="P21" s="48">
        <v>26621</v>
      </c>
      <c r="Q21" s="48">
        <v>1136568</v>
      </c>
      <c r="R21" s="10">
        <v>7507205</v>
      </c>
      <c r="S21" s="10">
        <v>1406162</v>
      </c>
      <c r="T21" s="10">
        <v>0</v>
      </c>
      <c r="U21" s="10">
        <v>0</v>
      </c>
      <c r="V21" s="10">
        <v>23424273</v>
      </c>
      <c r="W21" s="12">
        <v>0.06</v>
      </c>
      <c r="X21" s="10">
        <v>0</v>
      </c>
      <c r="Y21" s="22">
        <f>1026587/23424273</f>
        <v>4.3825778499080849E-2</v>
      </c>
      <c r="Z21" s="10">
        <v>1023106</v>
      </c>
      <c r="AA21" s="10">
        <v>0</v>
      </c>
      <c r="AB21" s="10">
        <f>61105+1615</f>
        <v>62720</v>
      </c>
      <c r="AC21" s="10">
        <v>489009</v>
      </c>
      <c r="AD21" s="10">
        <v>38828</v>
      </c>
      <c r="AE21" s="10">
        <v>87401</v>
      </c>
      <c r="AF21" s="10">
        <f>64117+7808</f>
        <v>71925</v>
      </c>
      <c r="AG21" s="10">
        <v>18262</v>
      </c>
      <c r="AH21" s="10">
        <v>130017</v>
      </c>
      <c r="AI21" s="10">
        <v>0</v>
      </c>
      <c r="AJ21" s="10">
        <v>44040</v>
      </c>
      <c r="AK21" s="10">
        <f>5993+32651+20917</f>
        <v>59561</v>
      </c>
      <c r="AL21" s="10">
        <v>6651</v>
      </c>
      <c r="AM21" s="10">
        <v>0</v>
      </c>
      <c r="AN21" s="10">
        <v>6727</v>
      </c>
      <c r="AO21" s="10">
        <v>0</v>
      </c>
      <c r="AP21" s="10">
        <v>984803</v>
      </c>
      <c r="AQ21" s="10">
        <v>1014963</v>
      </c>
      <c r="AR21" s="12">
        <f t="shared" si="5"/>
        <v>0</v>
      </c>
      <c r="AS21" s="10">
        <v>0</v>
      </c>
      <c r="AT21" s="10">
        <v>0</v>
      </c>
      <c r="AU21" s="10">
        <v>139662</v>
      </c>
      <c r="AV21" s="10">
        <v>0</v>
      </c>
      <c r="AW21" s="10">
        <v>125621</v>
      </c>
      <c r="AX21" s="10">
        <v>0</v>
      </c>
      <c r="AY21" s="10">
        <v>0</v>
      </c>
      <c r="AZ21" s="10">
        <v>0</v>
      </c>
      <c r="BA21" s="10">
        <v>6089</v>
      </c>
      <c r="BB21" s="10">
        <v>2016</v>
      </c>
      <c r="BC21" s="10">
        <v>84</v>
      </c>
      <c r="BD21" s="10">
        <v>-3</v>
      </c>
      <c r="BE21" s="10">
        <v>-344</v>
      </c>
      <c r="BF21" s="10">
        <v>-674</v>
      </c>
      <c r="BG21" s="10">
        <v>-1083</v>
      </c>
      <c r="BH21" s="10">
        <v>-3</v>
      </c>
      <c r="BI21" s="10">
        <f t="shared" si="6"/>
        <v>6082</v>
      </c>
      <c r="BJ21" s="1">
        <v>60</v>
      </c>
      <c r="BK21" s="1">
        <v>117</v>
      </c>
      <c r="BL21" s="1">
        <v>59</v>
      </c>
      <c r="BM21" s="1">
        <v>866</v>
      </c>
      <c r="BN21" s="1">
        <v>0</v>
      </c>
      <c r="BO21" s="1">
        <v>41</v>
      </c>
      <c r="BP21" s="1" t="s">
        <v>453</v>
      </c>
      <c r="BQ21" s="1" t="s">
        <v>453</v>
      </c>
      <c r="BR21" s="1" t="s">
        <v>453</v>
      </c>
      <c r="BS21" s="1" t="s">
        <v>453</v>
      </c>
      <c r="BT21" s="1" t="s">
        <v>453</v>
      </c>
      <c r="BU21" s="1" t="s">
        <v>453</v>
      </c>
      <c r="BV21" s="1" t="s">
        <v>453</v>
      </c>
      <c r="BW21" s="1" t="s">
        <v>453</v>
      </c>
      <c r="BX21" s="1" t="s">
        <v>453</v>
      </c>
      <c r="BY21" s="1" t="s">
        <v>453</v>
      </c>
    </row>
    <row r="22" spans="1:77">
      <c r="A22" s="1">
        <v>2</v>
      </c>
      <c r="B22" s="1" t="s">
        <v>550</v>
      </c>
      <c r="C22" s="7" t="s">
        <v>258</v>
      </c>
      <c r="D22" s="1" t="s">
        <v>567</v>
      </c>
      <c r="E22" s="1" t="s">
        <v>483</v>
      </c>
      <c r="F22" s="7" t="s">
        <v>695</v>
      </c>
      <c r="G22" s="7" t="s">
        <v>469</v>
      </c>
      <c r="H22" s="10">
        <v>12699893</v>
      </c>
      <c r="I22" s="10">
        <v>12762525</v>
      </c>
      <c r="J22" s="10">
        <v>189505</v>
      </c>
      <c r="K22" s="48">
        <v>0</v>
      </c>
      <c r="L22" s="48">
        <v>0</v>
      </c>
      <c r="M22" s="48">
        <v>814335</v>
      </c>
      <c r="N22" s="48">
        <v>4626462</v>
      </c>
      <c r="O22" s="48">
        <v>0</v>
      </c>
      <c r="P22" s="48">
        <v>28691</v>
      </c>
      <c r="Q22" s="48">
        <v>661511</v>
      </c>
      <c r="R22" s="10">
        <v>5289812</v>
      </c>
      <c r="S22" s="10">
        <v>400067</v>
      </c>
      <c r="T22" s="10">
        <v>0</v>
      </c>
      <c r="U22" s="10">
        <v>0</v>
      </c>
      <c r="V22" s="10">
        <v>12490580</v>
      </c>
      <c r="W22" s="12">
        <v>0.11</v>
      </c>
      <c r="X22" s="10">
        <v>0</v>
      </c>
      <c r="Y22" s="22">
        <f>668178/12490580</f>
        <v>5.349455349551422E-2</v>
      </c>
      <c r="Z22" s="10">
        <v>664730</v>
      </c>
      <c r="AA22" s="10">
        <v>0</v>
      </c>
      <c r="AB22" s="10">
        <f>62632+1011</f>
        <v>63643</v>
      </c>
      <c r="AC22" s="10">
        <v>291788</v>
      </c>
      <c r="AD22" s="10">
        <v>24811</v>
      </c>
      <c r="AE22" s="10">
        <v>53292</v>
      </c>
      <c r="AF22" s="10">
        <f>42531+4114</f>
        <v>46645</v>
      </c>
      <c r="AG22" s="10">
        <v>13087</v>
      </c>
      <c r="AH22" s="10">
        <v>27729</v>
      </c>
      <c r="AI22" s="10">
        <v>0</v>
      </c>
      <c r="AJ22" s="10">
        <v>12807</v>
      </c>
      <c r="AK22" s="10">
        <f>7435+19909+46460</f>
        <v>73804</v>
      </c>
      <c r="AL22" s="10">
        <v>4866</v>
      </c>
      <c r="AM22" s="10">
        <v>1536</v>
      </c>
      <c r="AN22" s="10">
        <v>760</v>
      </c>
      <c r="AO22" s="10">
        <v>0</v>
      </c>
      <c r="AP22" s="10">
        <v>596219</v>
      </c>
      <c r="AQ22" s="10">
        <v>618703</v>
      </c>
      <c r="AR22" s="12">
        <f t="shared" si="5"/>
        <v>0</v>
      </c>
      <c r="AS22" s="10">
        <v>360</v>
      </c>
      <c r="AT22" s="10">
        <v>0</v>
      </c>
      <c r="AU22" s="10">
        <v>139662</v>
      </c>
      <c r="AV22" s="10">
        <v>0</v>
      </c>
      <c r="AW22" s="10">
        <v>75390</v>
      </c>
      <c r="AX22" s="10">
        <v>0</v>
      </c>
      <c r="AY22" s="10">
        <v>0</v>
      </c>
      <c r="AZ22" s="10">
        <v>0</v>
      </c>
      <c r="BA22" s="10">
        <v>2332</v>
      </c>
      <c r="BB22" s="10">
        <v>760</v>
      </c>
      <c r="BC22" s="10">
        <v>7</v>
      </c>
      <c r="BD22" s="10">
        <v>0</v>
      </c>
      <c r="BE22" s="10">
        <v>-167</v>
      </c>
      <c r="BF22" s="10">
        <v>-190</v>
      </c>
      <c r="BG22" s="10">
        <v>-319</v>
      </c>
      <c r="BH22" s="10">
        <v>-1</v>
      </c>
      <c r="BI22" s="10">
        <f t="shared" si="6"/>
        <v>2422</v>
      </c>
      <c r="BJ22" s="1">
        <v>15</v>
      </c>
      <c r="BK22" s="1">
        <v>102</v>
      </c>
      <c r="BL22" s="1">
        <v>50</v>
      </c>
      <c r="BM22" s="1">
        <v>166</v>
      </c>
      <c r="BN22" s="1">
        <v>0</v>
      </c>
      <c r="BO22" s="1">
        <v>0</v>
      </c>
      <c r="BP22" s="1" t="s">
        <v>453</v>
      </c>
      <c r="BQ22" s="1" t="s">
        <v>453</v>
      </c>
      <c r="BR22" s="1" t="s">
        <v>453</v>
      </c>
      <c r="BS22" s="1" t="s">
        <v>453</v>
      </c>
      <c r="BT22" s="1" t="s">
        <v>453</v>
      </c>
      <c r="BU22" s="1" t="s">
        <v>453</v>
      </c>
      <c r="BV22" s="1" t="s">
        <v>453</v>
      </c>
      <c r="BW22" s="1" t="s">
        <v>453</v>
      </c>
      <c r="BX22" s="1" t="s">
        <v>453</v>
      </c>
      <c r="BY22" s="1" t="s">
        <v>453</v>
      </c>
    </row>
    <row r="23" spans="1:77">
      <c r="A23" s="1">
        <v>2</v>
      </c>
      <c r="B23" s="1" t="s">
        <v>593</v>
      </c>
      <c r="C23" s="7" t="s">
        <v>328</v>
      </c>
      <c r="D23" s="1" t="s">
        <v>697</v>
      </c>
      <c r="E23" s="1" t="s">
        <v>483</v>
      </c>
      <c r="F23" s="7" t="s">
        <v>618</v>
      </c>
      <c r="G23" s="7" t="s">
        <v>469</v>
      </c>
      <c r="H23" s="10">
        <v>12862816</v>
      </c>
      <c r="I23" s="10">
        <v>12886577</v>
      </c>
      <c r="J23" s="10">
        <v>1749095</v>
      </c>
      <c r="K23" s="48">
        <v>0</v>
      </c>
      <c r="L23" s="48">
        <v>0</v>
      </c>
      <c r="M23" s="48">
        <v>5122082</v>
      </c>
      <c r="N23" s="48">
        <v>0</v>
      </c>
      <c r="O23" s="48">
        <v>0</v>
      </c>
      <c r="P23" s="48">
        <v>1399441</v>
      </c>
      <c r="Q23" s="48">
        <v>0</v>
      </c>
      <c r="R23" s="10">
        <v>3079014</v>
      </c>
      <c r="S23" s="10">
        <v>110987</v>
      </c>
      <c r="T23" s="10">
        <v>1182</v>
      </c>
      <c r="U23" s="10">
        <v>0</v>
      </c>
      <c r="V23" s="10">
        <v>10322874</v>
      </c>
      <c r="W23" s="12">
        <v>0.24</v>
      </c>
      <c r="X23" s="10">
        <v>0</v>
      </c>
      <c r="Y23" s="22">
        <f>561341/10206206</f>
        <v>5.4999967666731396E-2</v>
      </c>
      <c r="Z23" s="10">
        <v>562666</v>
      </c>
      <c r="AA23" s="10">
        <v>0</v>
      </c>
      <c r="AB23" s="10">
        <f>23756+659</f>
        <v>24415</v>
      </c>
      <c r="AC23" s="10">
        <v>251533</v>
      </c>
      <c r="AD23" s="10">
        <v>21581</v>
      </c>
      <c r="AE23" s="10">
        <v>10773</v>
      </c>
      <c r="AF23" s="10">
        <v>76072</v>
      </c>
      <c r="AG23" s="10">
        <v>30000</v>
      </c>
      <c r="AH23" s="10">
        <v>4633</v>
      </c>
      <c r="AI23" s="10">
        <v>0</v>
      </c>
      <c r="AJ23" s="10">
        <v>0</v>
      </c>
      <c r="AK23" s="10">
        <f>12101+9377+5287</f>
        <v>26765</v>
      </c>
      <c r="AL23" s="10">
        <v>4274</v>
      </c>
      <c r="AM23" s="10">
        <v>2789</v>
      </c>
      <c r="AN23" s="10">
        <v>13246</v>
      </c>
      <c r="AO23" s="10">
        <v>0</v>
      </c>
      <c r="AP23" s="10">
        <v>500410</v>
      </c>
      <c r="AQ23" s="10">
        <v>517300</v>
      </c>
      <c r="AR23" s="12">
        <f t="shared" si="5"/>
        <v>0</v>
      </c>
      <c r="AS23" s="10">
        <v>1238</v>
      </c>
      <c r="AT23" s="10">
        <v>0</v>
      </c>
      <c r="AU23" s="10">
        <v>139659</v>
      </c>
      <c r="AV23" s="10">
        <v>0</v>
      </c>
      <c r="AW23" s="10">
        <v>22186</v>
      </c>
      <c r="AX23" s="10">
        <v>0</v>
      </c>
      <c r="AY23" s="10">
        <v>0</v>
      </c>
      <c r="AZ23" s="10">
        <v>0</v>
      </c>
      <c r="BA23" s="10">
        <v>2144</v>
      </c>
      <c r="BB23" s="10">
        <v>1567</v>
      </c>
      <c r="BC23" s="10">
        <v>0</v>
      </c>
      <c r="BD23" s="10">
        <v>0</v>
      </c>
      <c r="BE23" s="10">
        <v>-39</v>
      </c>
      <c r="BF23" s="10">
        <v>-1452</v>
      </c>
      <c r="BG23" s="10">
        <v>-250</v>
      </c>
      <c r="BH23" s="10">
        <v>0</v>
      </c>
      <c r="BI23" s="10">
        <f t="shared" si="6"/>
        <v>1970</v>
      </c>
      <c r="BJ23" s="1">
        <v>12</v>
      </c>
      <c r="BK23" s="1">
        <v>80</v>
      </c>
      <c r="BL23" s="1">
        <v>25</v>
      </c>
      <c r="BM23" s="1">
        <v>119</v>
      </c>
      <c r="BN23" s="1">
        <v>0</v>
      </c>
      <c r="BO23" s="1">
        <v>26</v>
      </c>
      <c r="BP23" s="1" t="s">
        <v>453</v>
      </c>
      <c r="BQ23" s="1" t="s">
        <v>453</v>
      </c>
      <c r="BR23" s="1" t="s">
        <v>453</v>
      </c>
      <c r="BS23" s="1" t="s">
        <v>453</v>
      </c>
      <c r="BT23" s="1" t="s">
        <v>453</v>
      </c>
      <c r="BU23" s="1" t="s">
        <v>453</v>
      </c>
      <c r="BV23" s="1" t="s">
        <v>453</v>
      </c>
      <c r="BW23" s="1" t="s">
        <v>453</v>
      </c>
      <c r="BX23" s="1" t="s">
        <v>453</v>
      </c>
      <c r="BY23" s="1" t="s">
        <v>453</v>
      </c>
    </row>
    <row r="24" spans="1:77">
      <c r="A24" s="1">
        <v>2</v>
      </c>
      <c r="B24" s="1" t="s">
        <v>601</v>
      </c>
      <c r="C24" s="7" t="s">
        <v>325</v>
      </c>
      <c r="D24" s="1" t="s">
        <v>698</v>
      </c>
      <c r="E24" s="1" t="s">
        <v>681</v>
      </c>
      <c r="F24" s="7"/>
      <c r="G24" s="7" t="s">
        <v>679</v>
      </c>
      <c r="H24" s="10">
        <v>1695036</v>
      </c>
      <c r="I24" s="10">
        <v>1697781</v>
      </c>
      <c r="J24" s="10">
        <v>23634</v>
      </c>
      <c r="K24" s="48">
        <v>0</v>
      </c>
      <c r="L24" s="48">
        <v>0</v>
      </c>
      <c r="M24" s="48">
        <v>0</v>
      </c>
      <c r="N24" s="48">
        <v>865552</v>
      </c>
      <c r="O24" s="48">
        <v>0</v>
      </c>
      <c r="P24" s="48">
        <v>0</v>
      </c>
      <c r="Q24" s="48">
        <v>300252</v>
      </c>
      <c r="R24" s="10">
        <v>346989</v>
      </c>
      <c r="S24" s="10">
        <v>39947</v>
      </c>
      <c r="T24" s="10">
        <v>400</v>
      </c>
      <c r="U24" s="10">
        <v>0</v>
      </c>
      <c r="V24" s="10">
        <v>1708040</v>
      </c>
      <c r="W24" s="12">
        <v>0.09</v>
      </c>
      <c r="X24" s="10">
        <v>0</v>
      </c>
      <c r="Y24" s="22">
        <f>154867/1548670</f>
        <v>0.1</v>
      </c>
      <c r="Z24" s="10">
        <v>154867</v>
      </c>
      <c r="AA24" s="10">
        <v>0</v>
      </c>
      <c r="AB24" s="10">
        <f>2492+147+113</f>
        <v>2752</v>
      </c>
      <c r="AC24" s="10">
        <v>18292</v>
      </c>
      <c r="AD24" s="10">
        <v>1690</v>
      </c>
      <c r="AE24" s="10">
        <v>2600</v>
      </c>
      <c r="AF24" s="10">
        <v>5756</v>
      </c>
      <c r="AG24" s="10">
        <v>3500</v>
      </c>
      <c r="AH24" s="10">
        <v>5346</v>
      </c>
      <c r="AI24" s="10">
        <v>825</v>
      </c>
      <c r="AJ24" s="10">
        <v>0</v>
      </c>
      <c r="AK24" s="10">
        <f>4015+3452+1808</f>
        <v>9275</v>
      </c>
      <c r="AL24" s="10">
        <v>0</v>
      </c>
      <c r="AM24" s="10">
        <v>1575</v>
      </c>
      <c r="AN24" s="10">
        <v>3266</v>
      </c>
      <c r="AO24" s="10">
        <v>18193</v>
      </c>
      <c r="AP24" s="10">
        <v>66129</v>
      </c>
      <c r="AQ24" s="10">
        <v>78278</v>
      </c>
      <c r="AR24" s="12">
        <f t="shared" si="5"/>
        <v>0.2751137927384355</v>
      </c>
      <c r="AS24" s="10">
        <v>730</v>
      </c>
      <c r="AT24" s="10">
        <v>0</v>
      </c>
      <c r="AU24" s="10">
        <v>87013</v>
      </c>
      <c r="AV24" s="10">
        <v>3443</v>
      </c>
      <c r="AW24" s="10">
        <v>7559</v>
      </c>
      <c r="AX24" s="10">
        <v>0</v>
      </c>
      <c r="AY24" s="10">
        <v>0</v>
      </c>
      <c r="AZ24" s="10">
        <v>0</v>
      </c>
      <c r="BA24" s="10">
        <v>360</v>
      </c>
      <c r="BB24" s="10">
        <v>134</v>
      </c>
      <c r="BC24" s="10">
        <v>0</v>
      </c>
      <c r="BD24" s="10">
        <v>0</v>
      </c>
      <c r="BE24" s="10">
        <v>-29</v>
      </c>
      <c r="BF24" s="10">
        <v>-52</v>
      </c>
      <c r="BG24" s="10">
        <v>-36</v>
      </c>
      <c r="BH24" s="10">
        <v>0</v>
      </c>
      <c r="BI24" s="10">
        <f t="shared" si="6"/>
        <v>377</v>
      </c>
      <c r="BJ24" s="1">
        <v>8</v>
      </c>
      <c r="BK24" s="1">
        <v>11</v>
      </c>
      <c r="BL24" s="1">
        <v>1</v>
      </c>
      <c r="BM24" s="1">
        <v>19</v>
      </c>
      <c r="BN24" s="1">
        <v>0</v>
      </c>
      <c r="BO24" s="1">
        <v>5</v>
      </c>
      <c r="BP24" s="1" t="s">
        <v>453</v>
      </c>
      <c r="BQ24" s="1" t="s">
        <v>453</v>
      </c>
      <c r="BR24" s="1" t="s">
        <v>453</v>
      </c>
      <c r="BS24" s="1" t="s">
        <v>453</v>
      </c>
      <c r="BT24" s="1" t="s">
        <v>453</v>
      </c>
      <c r="BU24" s="1" t="s">
        <v>453</v>
      </c>
      <c r="BV24" s="1" t="s">
        <v>453</v>
      </c>
      <c r="BW24" s="1" t="s">
        <v>453</v>
      </c>
      <c r="BX24" s="1" t="s">
        <v>453</v>
      </c>
      <c r="BY24" s="1" t="s">
        <v>453</v>
      </c>
    </row>
    <row r="25" spans="1:77">
      <c r="A25" s="1">
        <v>2</v>
      </c>
      <c r="B25" s="1" t="s">
        <v>636</v>
      </c>
      <c r="C25" s="7" t="s">
        <v>406</v>
      </c>
      <c r="D25" s="1" t="s">
        <v>638</v>
      </c>
      <c r="E25" s="1" t="s">
        <v>483</v>
      </c>
      <c r="F25" s="7" t="s">
        <v>478</v>
      </c>
      <c r="G25" s="7" t="s">
        <v>469</v>
      </c>
      <c r="H25" s="10">
        <v>10112204</v>
      </c>
      <c r="I25" s="10">
        <v>10159660</v>
      </c>
      <c r="J25" s="10">
        <v>251811</v>
      </c>
      <c r="K25" s="48">
        <v>0</v>
      </c>
      <c r="L25" s="48">
        <v>0</v>
      </c>
      <c r="M25" s="48">
        <v>0</v>
      </c>
      <c r="N25" s="48">
        <v>3986278</v>
      </c>
      <c r="O25" s="48">
        <v>0</v>
      </c>
      <c r="P25" s="48">
        <v>0</v>
      </c>
      <c r="Q25" s="48">
        <v>776700</v>
      </c>
      <c r="R25" s="10">
        <v>3694407</v>
      </c>
      <c r="S25" s="10">
        <v>635336</v>
      </c>
      <c r="T25" s="10">
        <v>0</v>
      </c>
      <c r="U25" s="10">
        <v>5410</v>
      </c>
      <c r="V25" s="10">
        <v>9775320</v>
      </c>
      <c r="W25" s="12">
        <v>0.13</v>
      </c>
      <c r="X25" s="10">
        <v>0</v>
      </c>
      <c r="Y25" s="22">
        <f>616968/9721385</f>
        <v>6.3465030960094676E-2</v>
      </c>
      <c r="Z25" s="10">
        <v>613818</v>
      </c>
      <c r="AA25" s="10">
        <v>0</v>
      </c>
      <c r="AB25" s="10">
        <f>47456+2975+1634</f>
        <v>52065</v>
      </c>
      <c r="AC25" s="10">
        <v>237851</v>
      </c>
      <c r="AD25" s="10">
        <v>16952</v>
      </c>
      <c r="AE25" s="10">
        <v>68741</v>
      </c>
      <c r="AF25" s="10">
        <v>66670</v>
      </c>
      <c r="AG25" s="10">
        <v>12560</v>
      </c>
      <c r="AH25" s="10">
        <v>74118</v>
      </c>
      <c r="AI25" s="10">
        <v>0</v>
      </c>
      <c r="AJ25" s="10">
        <v>23652</v>
      </c>
      <c r="AK25" s="10">
        <f>6770+22000+10251</f>
        <v>39021</v>
      </c>
      <c r="AL25" s="10">
        <v>4991</v>
      </c>
      <c r="AM25" s="10">
        <v>0</v>
      </c>
      <c r="AN25" s="10">
        <v>21796</v>
      </c>
      <c r="AO25" s="10">
        <v>0</v>
      </c>
      <c r="AP25" s="10">
        <v>593521</v>
      </c>
      <c r="AQ25" s="10">
        <v>619342</v>
      </c>
      <c r="AR25" s="12">
        <f t="shared" si="5"/>
        <v>0</v>
      </c>
      <c r="AS25" s="10">
        <v>0</v>
      </c>
      <c r="AT25" s="10">
        <v>0</v>
      </c>
      <c r="AU25" s="10">
        <v>139662</v>
      </c>
      <c r="AV25" s="10">
        <v>0</v>
      </c>
      <c r="AW25" s="10">
        <v>47948</v>
      </c>
      <c r="AX25" s="10">
        <v>0</v>
      </c>
      <c r="AY25" s="10">
        <v>0</v>
      </c>
      <c r="AZ25" s="10">
        <v>0</v>
      </c>
      <c r="BA25" s="10">
        <f>1867+25</f>
        <v>1892</v>
      </c>
      <c r="BB25" s="10">
        <v>897</v>
      </c>
      <c r="BC25" s="10">
        <v>410</v>
      </c>
      <c r="BD25" s="10">
        <v>0</v>
      </c>
      <c r="BE25" s="10">
        <v>-170</v>
      </c>
      <c r="BF25" s="10">
        <v>-402</v>
      </c>
      <c r="BG25" s="10">
        <v>-508</v>
      </c>
      <c r="BH25" s="10">
        <v>-8</v>
      </c>
      <c r="BI25" s="10">
        <f t="shared" si="6"/>
        <v>2111</v>
      </c>
      <c r="BJ25" s="1">
        <v>10</v>
      </c>
      <c r="BK25" s="1">
        <v>139</v>
      </c>
      <c r="BL25" s="1">
        <v>42</v>
      </c>
      <c r="BM25" s="1">
        <v>130</v>
      </c>
      <c r="BN25" s="1">
        <v>7</v>
      </c>
      <c r="BO25" s="1">
        <v>7</v>
      </c>
      <c r="BP25" s="1" t="s">
        <v>453</v>
      </c>
      <c r="BQ25" s="1" t="s">
        <v>453</v>
      </c>
      <c r="BR25" s="1" t="s">
        <v>453</v>
      </c>
      <c r="BS25" s="1" t="s">
        <v>453</v>
      </c>
      <c r="BT25" s="1" t="s">
        <v>453</v>
      </c>
      <c r="BU25" s="1" t="s">
        <v>453</v>
      </c>
      <c r="BV25" s="1" t="s">
        <v>453</v>
      </c>
      <c r="BW25" s="1" t="s">
        <v>453</v>
      </c>
      <c r="BX25" s="1" t="s">
        <v>453</v>
      </c>
      <c r="BY25" s="1" t="s">
        <v>453</v>
      </c>
    </row>
    <row r="26" spans="1:77">
      <c r="A26" s="1">
        <v>2</v>
      </c>
      <c r="B26" s="1" t="s">
        <v>692</v>
      </c>
      <c r="C26" s="7" t="s">
        <v>590</v>
      </c>
      <c r="D26" s="1" t="s">
        <v>570</v>
      </c>
      <c r="E26" s="1" t="s">
        <v>483</v>
      </c>
      <c r="F26" s="7" t="s">
        <v>205</v>
      </c>
      <c r="G26" s="7" t="s">
        <v>469</v>
      </c>
      <c r="H26" s="10">
        <v>4696404</v>
      </c>
      <c r="I26" s="10">
        <v>4734860</v>
      </c>
      <c r="J26" s="10">
        <v>229304</v>
      </c>
      <c r="K26" s="48">
        <v>0</v>
      </c>
      <c r="L26" s="48">
        <v>0</v>
      </c>
      <c r="M26" s="48">
        <v>0</v>
      </c>
      <c r="N26" s="48">
        <v>2857143</v>
      </c>
      <c r="O26" s="48">
        <v>0</v>
      </c>
      <c r="P26" s="48">
        <v>0</v>
      </c>
      <c r="Q26" s="48">
        <v>278753</v>
      </c>
      <c r="R26" s="10">
        <v>1060631</v>
      </c>
      <c r="S26" s="10">
        <v>63907</v>
      </c>
      <c r="T26" s="10">
        <v>5950</v>
      </c>
      <c r="U26" s="10">
        <v>0</v>
      </c>
      <c r="V26" s="10">
        <v>4652670</v>
      </c>
      <c r="W26" s="12">
        <v>4.1799999999999997E-2</v>
      </c>
      <c r="X26" s="10">
        <v>0</v>
      </c>
      <c r="Y26" s="22">
        <f>384682/4646720</f>
        <v>8.2785706907237799E-2</v>
      </c>
      <c r="Z26" s="10">
        <v>386286</v>
      </c>
      <c r="AA26" s="10">
        <v>0</v>
      </c>
      <c r="AB26" s="10">
        <f>14061+541</f>
        <v>14602</v>
      </c>
      <c r="AC26" s="10">
        <v>137475</v>
      </c>
      <c r="AD26" s="10">
        <v>9520</v>
      </c>
      <c r="AE26" s="10">
        <v>11425</v>
      </c>
      <c r="AF26" s="10">
        <v>20600</v>
      </c>
      <c r="AG26" s="10">
        <v>9140</v>
      </c>
      <c r="AH26" s="10">
        <v>6083</v>
      </c>
      <c r="AI26" s="10">
        <v>0</v>
      </c>
      <c r="AJ26" s="10">
        <v>1007</v>
      </c>
      <c r="AK26" s="10">
        <f>4882+6284+4821</f>
        <v>15987</v>
      </c>
      <c r="AL26" s="10">
        <v>3461</v>
      </c>
      <c r="AM26" s="10">
        <v>5560</v>
      </c>
      <c r="AN26" s="10">
        <v>1819</v>
      </c>
      <c r="AO26" s="10">
        <v>53649</v>
      </c>
      <c r="AP26" s="10">
        <v>253219</v>
      </c>
      <c r="AQ26" s="10">
        <v>271488</v>
      </c>
      <c r="AR26" s="12">
        <f t="shared" si="5"/>
        <v>0.21186798778922591</v>
      </c>
      <c r="AS26" s="10">
        <v>0</v>
      </c>
      <c r="AT26" s="10">
        <v>0</v>
      </c>
      <c r="AU26" s="10">
        <v>139662</v>
      </c>
      <c r="AV26" s="10">
        <v>0</v>
      </c>
      <c r="AW26" s="10">
        <v>37279</v>
      </c>
      <c r="AX26" s="10">
        <v>0</v>
      </c>
      <c r="AY26" s="10">
        <v>0</v>
      </c>
      <c r="AZ26" s="10">
        <v>0</v>
      </c>
      <c r="BA26" s="10">
        <v>926</v>
      </c>
      <c r="BB26" s="10">
        <v>116</v>
      </c>
      <c r="BC26" s="10">
        <v>0</v>
      </c>
      <c r="BD26" s="10">
        <v>0</v>
      </c>
      <c r="BE26" s="10">
        <v>0</v>
      </c>
      <c r="BF26" s="10">
        <v>-460</v>
      </c>
      <c r="BG26" s="10">
        <v>0</v>
      </c>
      <c r="BH26" s="10">
        <v>0</v>
      </c>
      <c r="BI26" s="10">
        <f t="shared" si="6"/>
        <v>582</v>
      </c>
      <c r="BJ26" s="1">
        <v>0</v>
      </c>
      <c r="BK26" s="1">
        <v>18</v>
      </c>
      <c r="BL26" s="1">
        <v>10</v>
      </c>
      <c r="BM26" s="1">
        <v>27</v>
      </c>
      <c r="BN26" s="1">
        <v>1</v>
      </c>
      <c r="BO26" s="1">
        <v>14</v>
      </c>
      <c r="BP26" s="1" t="s">
        <v>453</v>
      </c>
      <c r="BQ26" s="1" t="s">
        <v>453</v>
      </c>
      <c r="BR26" s="1" t="s">
        <v>453</v>
      </c>
      <c r="BS26" s="1" t="s">
        <v>453</v>
      </c>
      <c r="BT26" s="1" t="s">
        <v>453</v>
      </c>
      <c r="BU26" s="1" t="s">
        <v>453</v>
      </c>
      <c r="BV26" s="1" t="s">
        <v>453</v>
      </c>
      <c r="BW26" s="1" t="s">
        <v>453</v>
      </c>
      <c r="BX26" s="1" t="s">
        <v>453</v>
      </c>
      <c r="BY26" s="1" t="s">
        <v>453</v>
      </c>
    </row>
    <row r="27" spans="1:77">
      <c r="A27" s="1">
        <v>2</v>
      </c>
      <c r="B27" s="1" t="s">
        <v>699</v>
      </c>
      <c r="C27" s="7" t="s">
        <v>442</v>
      </c>
      <c r="D27" s="1" t="s">
        <v>284</v>
      </c>
      <c r="E27" s="1" t="s">
        <v>160</v>
      </c>
      <c r="F27" s="7"/>
      <c r="G27" s="7" t="s">
        <v>150</v>
      </c>
      <c r="H27" s="10">
        <v>13533027</v>
      </c>
      <c r="I27" s="10">
        <v>13588235</v>
      </c>
      <c r="J27" s="10">
        <v>1219731</v>
      </c>
      <c r="K27" s="48">
        <v>0</v>
      </c>
      <c r="L27" s="48">
        <v>0</v>
      </c>
      <c r="M27" s="48">
        <v>8605421</v>
      </c>
      <c r="N27" s="48">
        <v>0</v>
      </c>
      <c r="O27" s="48">
        <v>0</v>
      </c>
      <c r="P27" s="48">
        <v>1464376</v>
      </c>
      <c r="Q27" s="48">
        <v>0</v>
      </c>
      <c r="R27" s="10">
        <v>1000413</v>
      </c>
      <c r="S27" s="10">
        <v>338750</v>
      </c>
      <c r="T27" s="10">
        <v>37925</v>
      </c>
      <c r="U27" s="10">
        <v>0</v>
      </c>
      <c r="V27" s="10">
        <v>12109311</v>
      </c>
      <c r="W27" s="12">
        <v>0.13</v>
      </c>
      <c r="X27" s="10">
        <v>0</v>
      </c>
      <c r="Y27" s="22">
        <f>658629/12071386</f>
        <v>5.4561174665444384E-2</v>
      </c>
      <c r="Z27" s="10">
        <v>662347</v>
      </c>
      <c r="AA27" s="10">
        <v>0</v>
      </c>
      <c r="AB27" s="10">
        <f>55208+1537</f>
        <v>56745</v>
      </c>
      <c r="AC27" s="10">
        <v>335261</v>
      </c>
      <c r="AD27" s="10">
        <v>25979</v>
      </c>
      <c r="AE27" s="10">
        <v>73730</v>
      </c>
      <c r="AF27" s="10">
        <v>57182</v>
      </c>
      <c r="AG27" s="10">
        <v>33299</v>
      </c>
      <c r="AH27" s="10">
        <v>13674</v>
      </c>
      <c r="AI27" s="10">
        <v>7723</v>
      </c>
      <c r="AJ27" s="10">
        <v>0</v>
      </c>
      <c r="AK27" s="10">
        <f>6476+10566+6926</f>
        <v>23968</v>
      </c>
      <c r="AL27" s="10">
        <v>0</v>
      </c>
      <c r="AM27" s="10">
        <v>698</v>
      </c>
      <c r="AN27" s="10">
        <v>0</v>
      </c>
      <c r="AO27" s="10">
        <v>0</v>
      </c>
      <c r="AP27" s="10">
        <v>608264</v>
      </c>
      <c r="AQ27" s="10">
        <v>663084</v>
      </c>
      <c r="AR27" s="12">
        <f t="shared" si="5"/>
        <v>0</v>
      </c>
      <c r="AS27" s="10">
        <v>0</v>
      </c>
      <c r="AT27" s="10">
        <v>0</v>
      </c>
      <c r="AU27" s="10">
        <v>139662</v>
      </c>
      <c r="AV27" s="10">
        <v>0</v>
      </c>
      <c r="AW27" s="10">
        <v>93376</v>
      </c>
      <c r="AX27" s="10">
        <v>0</v>
      </c>
      <c r="AY27" s="10">
        <v>0</v>
      </c>
      <c r="AZ27" s="10">
        <v>0</v>
      </c>
      <c r="BA27" s="10">
        <v>1783</v>
      </c>
      <c r="BB27" s="10">
        <v>1409</v>
      </c>
      <c r="BC27" s="10">
        <v>0</v>
      </c>
      <c r="BD27" s="10">
        <v>-2</v>
      </c>
      <c r="BE27" s="10">
        <v>-227</v>
      </c>
      <c r="BF27" s="10">
        <v>-979</v>
      </c>
      <c r="BG27" s="10">
        <v>-230</v>
      </c>
      <c r="BH27" s="10">
        <v>0</v>
      </c>
      <c r="BI27" s="10">
        <f t="shared" si="6"/>
        <v>1754</v>
      </c>
      <c r="BJ27" s="1">
        <v>3</v>
      </c>
      <c r="BK27" s="1">
        <v>68</v>
      </c>
      <c r="BL27" s="1">
        <v>6</v>
      </c>
      <c r="BM27" s="1">
        <v>42</v>
      </c>
      <c r="BN27" s="1">
        <v>6</v>
      </c>
      <c r="BO27" s="1">
        <v>108</v>
      </c>
      <c r="BP27" s="1" t="s">
        <v>453</v>
      </c>
      <c r="BQ27" s="1" t="s">
        <v>453</v>
      </c>
      <c r="BR27" s="1" t="s">
        <v>453</v>
      </c>
      <c r="BS27" s="1" t="s">
        <v>453</v>
      </c>
      <c r="BT27" s="1" t="s">
        <v>453</v>
      </c>
      <c r="BU27" s="1" t="s">
        <v>453</v>
      </c>
      <c r="BV27" s="1" t="s">
        <v>453</v>
      </c>
      <c r="BW27" s="1" t="s">
        <v>453</v>
      </c>
      <c r="BX27" s="1" t="s">
        <v>453</v>
      </c>
      <c r="BY27" s="1" t="s">
        <v>453</v>
      </c>
    </row>
    <row r="28" spans="1:77">
      <c r="A28" s="1">
        <v>3</v>
      </c>
      <c r="B28" s="1" t="s">
        <v>59</v>
      </c>
      <c r="C28" s="7" t="s">
        <v>318</v>
      </c>
      <c r="D28" s="1" t="s">
        <v>126</v>
      </c>
      <c r="E28" s="1" t="s">
        <v>472</v>
      </c>
      <c r="F28" s="7"/>
      <c r="G28" s="7" t="s">
        <v>467</v>
      </c>
      <c r="H28" s="10">
        <v>30991241</v>
      </c>
      <c r="I28" s="10">
        <v>31149161</v>
      </c>
      <c r="J28" s="10">
        <v>1655292</v>
      </c>
      <c r="K28" s="48">
        <v>0</v>
      </c>
      <c r="L28" s="48">
        <v>727100</v>
      </c>
      <c r="M28" s="48">
        <v>401750</v>
      </c>
      <c r="N28" s="48">
        <v>14083607</v>
      </c>
      <c r="O28" s="48">
        <v>0</v>
      </c>
      <c r="P28" s="48">
        <v>83516</v>
      </c>
      <c r="Q28" s="48">
        <v>3060937</v>
      </c>
      <c r="R28" s="10">
        <v>4694472</v>
      </c>
      <c r="S28" s="10">
        <v>3355809</v>
      </c>
      <c r="T28" s="10">
        <v>0</v>
      </c>
      <c r="U28" s="10">
        <v>0</v>
      </c>
      <c r="V28" s="10">
        <v>28741353</v>
      </c>
      <c r="W28" s="12">
        <v>0.16</v>
      </c>
      <c r="X28" s="10"/>
      <c r="Y28" s="22">
        <f>1345669/27752688</f>
        <v>4.8487879804651718E-2</v>
      </c>
      <c r="Z28" s="10">
        <v>1345497</v>
      </c>
      <c r="AA28" s="10">
        <v>0</v>
      </c>
      <c r="AB28" s="10">
        <f>157920+490</f>
        <v>158410</v>
      </c>
      <c r="AC28" s="10">
        <v>738798</v>
      </c>
      <c r="AD28" s="10">
        <v>72554</v>
      </c>
      <c r="AE28" s="10">
        <v>142550</v>
      </c>
      <c r="AF28" s="10">
        <f>97161+14400</f>
        <v>111561</v>
      </c>
      <c r="AG28" s="10">
        <v>2731</v>
      </c>
      <c r="AH28" s="10">
        <v>28763</v>
      </c>
      <c r="AI28" s="10">
        <v>1218</v>
      </c>
      <c r="AJ28" s="10">
        <v>0</v>
      </c>
      <c r="AK28" s="10">
        <f>17699+59995+40342</f>
        <v>118036</v>
      </c>
      <c r="AL28" s="10">
        <v>12018</v>
      </c>
      <c r="AM28" s="10">
        <v>9713</v>
      </c>
      <c r="AN28" s="10">
        <v>15322</v>
      </c>
      <c r="AO28" s="10">
        <v>0</v>
      </c>
      <c r="AP28" s="10">
        <v>1313375</v>
      </c>
      <c r="AQ28" s="10">
        <v>1346871</v>
      </c>
      <c r="AR28" s="12">
        <f t="shared" si="5"/>
        <v>0</v>
      </c>
      <c r="AS28" s="10">
        <v>214</v>
      </c>
      <c r="AT28" s="10">
        <v>0</v>
      </c>
      <c r="AU28" s="10">
        <v>139662</v>
      </c>
      <c r="AV28" s="10">
        <v>0</v>
      </c>
      <c r="AW28" s="10">
        <v>161012</v>
      </c>
      <c r="AX28" s="10">
        <v>0</v>
      </c>
      <c r="AY28" s="10">
        <v>0</v>
      </c>
      <c r="AZ28" s="10">
        <v>0</v>
      </c>
      <c r="BA28" s="10">
        <v>10334</v>
      </c>
      <c r="BB28" s="10">
        <v>5288</v>
      </c>
      <c r="BC28" s="10">
        <v>0</v>
      </c>
      <c r="BD28" s="10">
        <f>1+23-3</f>
        <v>21</v>
      </c>
      <c r="BE28" s="10">
        <v>-459</v>
      </c>
      <c r="BF28" s="10">
        <v>-3420</v>
      </c>
      <c r="BG28" s="10">
        <v>-1465</v>
      </c>
      <c r="BH28" s="10">
        <v>0</v>
      </c>
      <c r="BI28" s="10">
        <f t="shared" si="6"/>
        <v>10299</v>
      </c>
      <c r="BJ28" s="1">
        <v>7</v>
      </c>
      <c r="BK28" s="1">
        <v>152</v>
      </c>
      <c r="BL28" s="1">
        <v>60</v>
      </c>
      <c r="BM28" s="1">
        <v>508</v>
      </c>
      <c r="BN28" s="1">
        <v>709</v>
      </c>
      <c r="BO28" s="1">
        <v>36</v>
      </c>
      <c r="BP28" s="1">
        <v>1</v>
      </c>
      <c r="BQ28" s="1">
        <v>1</v>
      </c>
      <c r="BR28" s="1">
        <v>25</v>
      </c>
      <c r="BS28" s="1">
        <v>89</v>
      </c>
      <c r="BT28" s="1">
        <v>142</v>
      </c>
      <c r="BU28" s="1">
        <v>9</v>
      </c>
      <c r="BV28" s="1">
        <v>11</v>
      </c>
      <c r="BW28" s="1">
        <v>70</v>
      </c>
      <c r="BX28" s="1">
        <v>481</v>
      </c>
      <c r="BY28" s="1">
        <v>649</v>
      </c>
    </row>
    <row r="29" spans="1:77">
      <c r="A29" s="1">
        <v>3</v>
      </c>
      <c r="B29" s="1" t="s">
        <v>179</v>
      </c>
      <c r="C29" s="7" t="s">
        <v>121</v>
      </c>
      <c r="D29" s="1" t="s">
        <v>282</v>
      </c>
      <c r="E29" s="1" t="s">
        <v>503</v>
      </c>
      <c r="F29" s="7" t="s">
        <v>427</v>
      </c>
      <c r="G29" s="7" t="s">
        <v>516</v>
      </c>
      <c r="H29" s="10">
        <v>12843568</v>
      </c>
      <c r="I29" s="10">
        <v>12935790</v>
      </c>
      <c r="J29" s="10">
        <v>586072</v>
      </c>
      <c r="K29" s="48" t="s">
        <v>455</v>
      </c>
      <c r="L29" s="48" t="s">
        <v>455</v>
      </c>
      <c r="M29" s="48" t="s">
        <v>455</v>
      </c>
      <c r="N29" s="48">
        <v>3979115</v>
      </c>
      <c r="O29" s="48" t="s">
        <v>455</v>
      </c>
      <c r="P29" s="48" t="s">
        <v>455</v>
      </c>
      <c r="Q29" s="48">
        <v>2553790</v>
      </c>
      <c r="R29" s="10">
        <v>3541214</v>
      </c>
      <c r="S29" s="10">
        <v>1644697</v>
      </c>
      <c r="T29" s="10">
        <v>32099</v>
      </c>
      <c r="U29" s="10">
        <v>0</v>
      </c>
      <c r="V29" s="10">
        <v>12216035</v>
      </c>
      <c r="W29" s="12">
        <v>0.20100000000000001</v>
      </c>
      <c r="X29" s="10">
        <v>0</v>
      </c>
      <c r="Y29" s="22">
        <f>457349/12176492</f>
        <v>3.7559996754401845E-2</v>
      </c>
      <c r="Z29" s="10">
        <v>457676</v>
      </c>
      <c r="AA29" s="10">
        <v>0</v>
      </c>
      <c r="AB29" s="10">
        <f>83718+6296+403</f>
        <v>90417</v>
      </c>
      <c r="AC29" s="10">
        <v>214329</v>
      </c>
      <c r="AD29" s="10">
        <v>20120</v>
      </c>
      <c r="AE29" s="10">
        <v>32593</v>
      </c>
      <c r="AF29" s="10">
        <f>33668+3756</f>
        <v>37424</v>
      </c>
      <c r="AG29" s="10">
        <v>12961</v>
      </c>
      <c r="AH29" s="10">
        <v>27077</v>
      </c>
      <c r="AI29" s="10">
        <v>0</v>
      </c>
      <c r="AJ29" s="10">
        <v>0</v>
      </c>
      <c r="AK29" s="10">
        <f>4949+12937+13921</f>
        <v>31807</v>
      </c>
      <c r="AL29" s="10">
        <v>3933</v>
      </c>
      <c r="AM29" s="10">
        <v>0</v>
      </c>
      <c r="AN29" s="10">
        <v>32340</v>
      </c>
      <c r="AO29" s="10">
        <v>0</v>
      </c>
      <c r="AP29" s="10">
        <v>456628</v>
      </c>
      <c r="AQ29" s="10">
        <v>474715</v>
      </c>
      <c r="AR29" s="12">
        <f t="shared" si="5"/>
        <v>0</v>
      </c>
      <c r="AS29" s="10">
        <v>0</v>
      </c>
      <c r="AT29" s="10">
        <v>0</v>
      </c>
      <c r="AU29" s="10">
        <v>139662</v>
      </c>
      <c r="AV29" s="10">
        <v>0</v>
      </c>
      <c r="AW29" s="10">
        <v>25495</v>
      </c>
      <c r="AX29" s="10">
        <v>0</v>
      </c>
      <c r="AY29" s="10">
        <v>0</v>
      </c>
      <c r="AZ29" s="10">
        <v>0</v>
      </c>
      <c r="BA29" s="10">
        <v>3141</v>
      </c>
      <c r="BB29" s="10">
        <v>2055</v>
      </c>
      <c r="BC29" s="10">
        <v>71</v>
      </c>
      <c r="BD29" s="10">
        <f>2+76-6</f>
        <v>72</v>
      </c>
      <c r="BE29" s="10">
        <v>-272</v>
      </c>
      <c r="BF29" s="10">
        <v>-892</v>
      </c>
      <c r="BG29" s="10">
        <v>-472</v>
      </c>
      <c r="BH29" s="10">
        <v>0</v>
      </c>
      <c r="BI29" s="10">
        <f t="shared" si="6"/>
        <v>3703</v>
      </c>
      <c r="BJ29" s="1">
        <v>1</v>
      </c>
      <c r="BK29" s="1">
        <v>88</v>
      </c>
      <c r="BL29" s="1">
        <v>20</v>
      </c>
      <c r="BM29" s="1">
        <v>199</v>
      </c>
      <c r="BN29" s="1">
        <v>161</v>
      </c>
      <c r="BO29" s="1">
        <v>0</v>
      </c>
      <c r="BP29" s="1">
        <v>0</v>
      </c>
      <c r="BQ29" s="1">
        <v>2</v>
      </c>
      <c r="BR29" s="1">
        <v>19</v>
      </c>
      <c r="BS29" s="1">
        <v>133</v>
      </c>
      <c r="BT29" s="1">
        <v>0</v>
      </c>
      <c r="BU29" s="1">
        <v>1</v>
      </c>
      <c r="BV29" s="1">
        <v>7</v>
      </c>
      <c r="BW29" s="1">
        <v>22</v>
      </c>
      <c r="BX29" s="1">
        <v>258</v>
      </c>
      <c r="BY29" s="1">
        <v>0</v>
      </c>
    </row>
    <row r="30" spans="1:77">
      <c r="A30" s="1">
        <v>3</v>
      </c>
      <c r="B30" s="1" t="s">
        <v>339</v>
      </c>
      <c r="C30" s="7" t="s">
        <v>424</v>
      </c>
      <c r="D30" s="1" t="s">
        <v>706</v>
      </c>
      <c r="E30" s="1" t="s">
        <v>172</v>
      </c>
      <c r="F30" s="7"/>
      <c r="G30" s="7" t="s">
        <v>180</v>
      </c>
      <c r="H30" s="10">
        <v>7621924</v>
      </c>
      <c r="I30" s="10">
        <v>7650052</v>
      </c>
      <c r="J30" s="10">
        <v>272872</v>
      </c>
      <c r="K30" s="48">
        <v>11133</v>
      </c>
      <c r="L30" s="48">
        <v>254179</v>
      </c>
      <c r="M30" s="48">
        <v>3030952</v>
      </c>
      <c r="N30" s="48">
        <v>0</v>
      </c>
      <c r="O30" s="48">
        <v>0</v>
      </c>
      <c r="P30" s="48">
        <v>1313510</v>
      </c>
      <c r="Q30" s="48">
        <v>0</v>
      </c>
      <c r="R30" s="10">
        <v>1894574</v>
      </c>
      <c r="S30" s="10">
        <v>280588</v>
      </c>
      <c r="T30" s="10">
        <v>4799</v>
      </c>
      <c r="U30" s="10">
        <v>0</v>
      </c>
      <c r="V30" s="10">
        <v>7189427</v>
      </c>
      <c r="W30" s="12">
        <v>0.13</v>
      </c>
      <c r="X30" s="10">
        <v>0</v>
      </c>
      <c r="Y30" s="22">
        <f>399420/7184628</f>
        <v>5.5593692533559148E-2</v>
      </c>
      <c r="Z30" s="10">
        <v>399692</v>
      </c>
      <c r="AA30" s="10">
        <v>0</v>
      </c>
      <c r="AB30" s="10">
        <f>28128+1746+270</f>
        <v>30144</v>
      </c>
      <c r="AC30" s="10">
        <v>155872</v>
      </c>
      <c r="AD30" s="10">
        <v>11616</v>
      </c>
      <c r="AE30" s="10">
        <v>15426</v>
      </c>
      <c r="AF30" s="10">
        <v>32772</v>
      </c>
      <c r="AG30" s="10">
        <v>16753</v>
      </c>
      <c r="AH30" s="10">
        <v>10346</v>
      </c>
      <c r="AI30" s="10">
        <v>750</v>
      </c>
      <c r="AJ30" s="10">
        <v>0</v>
      </c>
      <c r="AK30" s="10">
        <f>3810+9980+8236</f>
        <v>22026</v>
      </c>
      <c r="AL30" s="10">
        <v>5352</v>
      </c>
      <c r="AM30" s="10">
        <v>8971</v>
      </c>
      <c r="AN30" s="10">
        <v>4803</v>
      </c>
      <c r="AO30" s="10">
        <v>0</v>
      </c>
      <c r="AP30" s="10">
        <v>297838</v>
      </c>
      <c r="AQ30" s="10">
        <v>311070</v>
      </c>
      <c r="AR30" s="12">
        <f t="shared" si="5"/>
        <v>0</v>
      </c>
      <c r="AS30" s="10">
        <v>0</v>
      </c>
      <c r="AT30" s="10">
        <v>0</v>
      </c>
      <c r="AU30" s="10">
        <v>139662</v>
      </c>
      <c r="AV30" s="10">
        <v>0</v>
      </c>
      <c r="AW30" s="10">
        <v>20064</v>
      </c>
      <c r="AX30" s="10">
        <v>0</v>
      </c>
      <c r="AY30" s="10">
        <v>0</v>
      </c>
      <c r="AZ30" s="10">
        <v>0</v>
      </c>
      <c r="BA30" s="10">
        <v>1930</v>
      </c>
      <c r="BB30" s="10">
        <v>815</v>
      </c>
      <c r="BC30" s="10">
        <v>0</v>
      </c>
      <c r="BD30" s="10">
        <v>-1</v>
      </c>
      <c r="BE30" s="10">
        <v>-85</v>
      </c>
      <c r="BF30" s="10">
        <v>-272</v>
      </c>
      <c r="BG30" s="10">
        <v>-252</v>
      </c>
      <c r="BH30" s="10">
        <v>-3</v>
      </c>
      <c r="BI30" s="10">
        <f t="shared" si="6"/>
        <v>2132</v>
      </c>
      <c r="BJ30" s="1">
        <v>6</v>
      </c>
      <c r="BK30" s="1">
        <v>32</v>
      </c>
      <c r="BL30" s="1">
        <v>16</v>
      </c>
      <c r="BM30" s="1">
        <v>178</v>
      </c>
      <c r="BN30" s="1">
        <v>13</v>
      </c>
      <c r="BO30" s="1">
        <v>12</v>
      </c>
      <c r="BP30" s="1" t="s">
        <v>455</v>
      </c>
      <c r="BQ30" s="1" t="s">
        <v>455</v>
      </c>
      <c r="BR30" s="1" t="s">
        <v>455</v>
      </c>
      <c r="BS30" s="1" t="s">
        <v>455</v>
      </c>
      <c r="BT30" s="1" t="s">
        <v>454</v>
      </c>
      <c r="BU30" s="1" t="s">
        <v>455</v>
      </c>
      <c r="BV30" s="1" t="s">
        <v>455</v>
      </c>
      <c r="BW30" s="1" t="s">
        <v>455</v>
      </c>
      <c r="BX30" s="1" t="s">
        <v>455</v>
      </c>
      <c r="BY30" s="1" t="s">
        <v>455</v>
      </c>
    </row>
    <row r="31" spans="1:77">
      <c r="A31" s="1">
        <v>3</v>
      </c>
      <c r="B31" s="1" t="s">
        <v>551</v>
      </c>
      <c r="C31" s="7" t="s">
        <v>247</v>
      </c>
      <c r="D31" s="1" t="s">
        <v>545</v>
      </c>
      <c r="E31" s="1" t="s">
        <v>503</v>
      </c>
      <c r="F31" s="7" t="s">
        <v>205</v>
      </c>
      <c r="G31" s="7" t="s">
        <v>516</v>
      </c>
      <c r="H31" s="10">
        <v>13928510</v>
      </c>
      <c r="I31" s="10">
        <v>14000629</v>
      </c>
      <c r="J31" s="10">
        <v>763090</v>
      </c>
      <c r="K31" s="48">
        <v>7308</v>
      </c>
      <c r="L31" s="48" t="s">
        <v>455</v>
      </c>
      <c r="M31" s="48">
        <v>6821882</v>
      </c>
      <c r="N31" s="48">
        <v>0</v>
      </c>
      <c r="O31" s="48">
        <v>0</v>
      </c>
      <c r="P31" s="48">
        <v>1746079</v>
      </c>
      <c r="Q31" s="48">
        <v>0</v>
      </c>
      <c r="R31" s="10">
        <v>2496276</v>
      </c>
      <c r="S31" s="10">
        <v>888218</v>
      </c>
      <c r="T31" s="10">
        <v>48216</v>
      </c>
      <c r="U31" s="10">
        <v>16261</v>
      </c>
      <c r="V31" s="10">
        <v>12707896</v>
      </c>
      <c r="W31" s="12">
        <v>0.1709</v>
      </c>
      <c r="X31" s="10">
        <v>0</v>
      </c>
      <c r="Y31" s="22">
        <f>682599/12659680</f>
        <v>5.3919135396787284E-2</v>
      </c>
      <c r="Z31" s="10">
        <v>683655</v>
      </c>
      <c r="AA31" s="10">
        <v>0</v>
      </c>
      <c r="AB31" s="10">
        <f>72119+6253+641</f>
        <v>79013</v>
      </c>
      <c r="AC31" s="10">
        <v>381830</v>
      </c>
      <c r="AD31" s="10">
        <v>33235</v>
      </c>
      <c r="AE31" s="10">
        <v>47624</v>
      </c>
      <c r="AF31" s="10">
        <f>79944+6197</f>
        <v>86141</v>
      </c>
      <c r="AG31" s="10">
        <v>6220</v>
      </c>
      <c r="AH31" s="10">
        <v>31319</v>
      </c>
      <c r="AI31" s="10">
        <v>7200</v>
      </c>
      <c r="AJ31" s="10">
        <v>0</v>
      </c>
      <c r="AK31" s="10">
        <f>5930+25092+17792</f>
        <v>48814</v>
      </c>
      <c r="AL31" s="10">
        <v>4897</v>
      </c>
      <c r="AM31" s="10">
        <v>10841</v>
      </c>
      <c r="AN31" s="10">
        <v>13865</v>
      </c>
      <c r="AO31" s="10">
        <v>0</v>
      </c>
      <c r="AP31" s="10">
        <v>709690</v>
      </c>
      <c r="AQ31" s="10">
        <v>722443</v>
      </c>
      <c r="AR31" s="12">
        <f t="shared" si="5"/>
        <v>0</v>
      </c>
      <c r="AS31" s="10">
        <v>0</v>
      </c>
      <c r="AT31" s="10">
        <v>0</v>
      </c>
      <c r="AU31" s="10">
        <v>139662</v>
      </c>
      <c r="AV31" s="10">
        <v>0</v>
      </c>
      <c r="AW31" s="10">
        <v>63586</v>
      </c>
      <c r="AX31" s="10">
        <v>0</v>
      </c>
      <c r="AY31" s="10">
        <v>0</v>
      </c>
      <c r="AZ31" s="10">
        <v>0</v>
      </c>
      <c r="BA31" s="10">
        <v>4249</v>
      </c>
      <c r="BB31" s="10">
        <v>3043</v>
      </c>
      <c r="BC31" s="10">
        <v>91</v>
      </c>
      <c r="BD31" s="10">
        <v>-4</v>
      </c>
      <c r="BE31" s="10">
        <v>-248</v>
      </c>
      <c r="BF31" s="10">
        <v>-2093</v>
      </c>
      <c r="BG31" s="10">
        <v>-497</v>
      </c>
      <c r="BH31" s="10">
        <v>-5</v>
      </c>
      <c r="BI31" s="10">
        <f t="shared" si="6"/>
        <v>4536</v>
      </c>
      <c r="BJ31" s="1">
        <v>0</v>
      </c>
      <c r="BK31" s="1">
        <v>60</v>
      </c>
      <c r="BL31" s="1">
        <v>29</v>
      </c>
      <c r="BM31" s="1">
        <v>301</v>
      </c>
      <c r="BN31" s="1">
        <v>36</v>
      </c>
      <c r="BO31" s="1">
        <v>84</v>
      </c>
      <c r="BP31" s="1">
        <v>0</v>
      </c>
      <c r="BQ31" s="1">
        <v>1</v>
      </c>
      <c r="BR31" s="1">
        <v>14</v>
      </c>
      <c r="BS31" s="1">
        <v>66</v>
      </c>
      <c r="BT31" s="1">
        <v>7</v>
      </c>
      <c r="BU31" s="1">
        <v>9</v>
      </c>
      <c r="BV31" s="1">
        <v>7</v>
      </c>
      <c r="BW31" s="1">
        <v>63</v>
      </c>
      <c r="BX31" s="1">
        <v>556</v>
      </c>
      <c r="BY31" s="1">
        <v>81</v>
      </c>
    </row>
    <row r="32" spans="1:77">
      <c r="A32" s="1">
        <v>3</v>
      </c>
      <c r="B32" s="1" t="s">
        <v>597</v>
      </c>
      <c r="C32" s="7" t="s">
        <v>333</v>
      </c>
      <c r="D32" s="1" t="s">
        <v>227</v>
      </c>
      <c r="E32" s="1" t="s">
        <v>472</v>
      </c>
      <c r="F32" s="7"/>
      <c r="G32" s="7" t="s">
        <v>467</v>
      </c>
      <c r="H32" s="10">
        <v>21887045</v>
      </c>
      <c r="I32" s="10">
        <v>21945358</v>
      </c>
      <c r="J32" s="10">
        <v>2063814</v>
      </c>
      <c r="K32" s="48">
        <v>0</v>
      </c>
      <c r="L32" s="48">
        <v>0</v>
      </c>
      <c r="M32" s="48">
        <v>0</v>
      </c>
      <c r="N32" s="48">
        <v>10896749</v>
      </c>
      <c r="O32" s="48">
        <v>0</v>
      </c>
      <c r="P32" s="48">
        <v>0</v>
      </c>
      <c r="Q32" s="48">
        <v>2227159</v>
      </c>
      <c r="R32" s="10">
        <v>3809388</v>
      </c>
      <c r="S32" s="10">
        <v>1332265</v>
      </c>
      <c r="T32" s="10">
        <v>10000</v>
      </c>
      <c r="U32" s="10">
        <v>0</v>
      </c>
      <c r="V32" s="10">
        <v>19410690</v>
      </c>
      <c r="W32" s="12">
        <v>0.183</v>
      </c>
      <c r="X32" s="10">
        <v>0</v>
      </c>
      <c r="Y32" s="22">
        <f>1151091/19400690</f>
        <v>5.9332477350032393E-2</v>
      </c>
      <c r="Z32" s="10">
        <v>1135129</v>
      </c>
      <c r="AA32" s="10">
        <v>0</v>
      </c>
      <c r="AB32" s="10">
        <f>58313+1499+1317</f>
        <v>61129</v>
      </c>
      <c r="AC32" s="10">
        <v>495457</v>
      </c>
      <c r="AD32" s="10">
        <v>50302</v>
      </c>
      <c r="AE32" s="10">
        <v>62810</v>
      </c>
      <c r="AF32" s="10">
        <f>102576+6576</f>
        <v>109152</v>
      </c>
      <c r="AG32" s="10">
        <v>6569</v>
      </c>
      <c r="AH32" s="10">
        <v>29168</v>
      </c>
      <c r="AI32" s="10">
        <v>5567</v>
      </c>
      <c r="AJ32" s="10">
        <v>0</v>
      </c>
      <c r="AK32" s="10">
        <f>6923+25031+16803</f>
        <v>48757</v>
      </c>
      <c r="AL32" s="10">
        <v>7365</v>
      </c>
      <c r="AM32" s="10">
        <v>0</v>
      </c>
      <c r="AN32" s="10">
        <v>138769</v>
      </c>
      <c r="AO32" s="10">
        <v>6668</v>
      </c>
      <c r="AP32" s="10">
        <v>1039327</v>
      </c>
      <c r="AQ32" s="10">
        <v>1061434</v>
      </c>
      <c r="AR32" s="12">
        <f t="shared" si="5"/>
        <v>6.4156901533396126E-3</v>
      </c>
      <c r="AS32" s="10">
        <v>0</v>
      </c>
      <c r="AT32" s="10">
        <v>0</v>
      </c>
      <c r="AU32" s="10">
        <v>139662</v>
      </c>
      <c r="AV32" s="10">
        <v>0</v>
      </c>
      <c r="AW32" s="10">
        <v>95886</v>
      </c>
      <c r="AX32" s="10">
        <v>0</v>
      </c>
      <c r="AY32" s="10">
        <v>0</v>
      </c>
      <c r="AZ32" s="10">
        <v>0</v>
      </c>
      <c r="BA32" s="10">
        <v>4219</v>
      </c>
      <c r="BB32" s="10">
        <v>3446</v>
      </c>
      <c r="BC32" s="10">
        <v>0</v>
      </c>
      <c r="BD32" s="10">
        <f>-4-120</f>
        <v>-124</v>
      </c>
      <c r="BE32" s="10">
        <v>-154</v>
      </c>
      <c r="BF32" s="10">
        <v>-2407</v>
      </c>
      <c r="BG32" s="10">
        <v>-368</v>
      </c>
      <c r="BH32" s="10">
        <v>0</v>
      </c>
      <c r="BI32" s="10">
        <f t="shared" si="6"/>
        <v>4612</v>
      </c>
      <c r="BJ32" s="1">
        <v>32</v>
      </c>
      <c r="BK32" s="1">
        <v>101</v>
      </c>
      <c r="BL32" s="1">
        <v>17</v>
      </c>
      <c r="BM32" s="1">
        <v>231</v>
      </c>
      <c r="BN32" s="1">
        <v>16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</row>
    <row r="33" spans="1:77">
      <c r="A33" s="1">
        <v>3</v>
      </c>
      <c r="B33" s="1" t="s">
        <v>620</v>
      </c>
      <c r="C33" s="7" t="s">
        <v>208</v>
      </c>
      <c r="D33" s="1" t="s">
        <v>520</v>
      </c>
      <c r="E33" s="1" t="s">
        <v>503</v>
      </c>
      <c r="F33" s="7" t="s">
        <v>205</v>
      </c>
      <c r="G33" s="7" t="s">
        <v>516</v>
      </c>
      <c r="H33" s="10">
        <v>25273578</v>
      </c>
      <c r="I33" s="10">
        <v>25440399</v>
      </c>
      <c r="J33" s="10">
        <v>2212382</v>
      </c>
      <c r="K33" s="48">
        <v>0</v>
      </c>
      <c r="L33" s="48">
        <v>352525</v>
      </c>
      <c r="M33" s="48">
        <v>0</v>
      </c>
      <c r="N33" s="48">
        <v>13469902</v>
      </c>
      <c r="O33" s="48">
        <v>0</v>
      </c>
      <c r="P33" s="48">
        <v>0</v>
      </c>
      <c r="Q33" s="48">
        <v>1966310</v>
      </c>
      <c r="R33" s="10">
        <v>4062504</v>
      </c>
      <c r="S33" s="10">
        <v>1674141</v>
      </c>
      <c r="T33" s="10">
        <v>84008</v>
      </c>
      <c r="U33" s="10">
        <v>0</v>
      </c>
      <c r="V33" s="10">
        <v>22648443</v>
      </c>
      <c r="W33" s="12">
        <v>0.2</v>
      </c>
      <c r="X33" s="10">
        <v>0</v>
      </c>
      <c r="Y33" s="22">
        <f>1039029/22584436</f>
        <v>4.6006417871139224E-2</v>
      </c>
      <c r="Z33" s="10">
        <v>1039053</v>
      </c>
      <c r="AA33" s="10">
        <v>0</v>
      </c>
      <c r="AB33" s="10">
        <f>152437+11861+1111</f>
        <v>165409</v>
      </c>
      <c r="AC33" s="10">
        <v>592050</v>
      </c>
      <c r="AD33" s="10">
        <v>49049</v>
      </c>
      <c r="AE33" s="10">
        <v>143576</v>
      </c>
      <c r="AF33" s="10">
        <v>97258</v>
      </c>
      <c r="AG33" s="10">
        <v>2028</v>
      </c>
      <c r="AH33" s="10">
        <v>54772</v>
      </c>
      <c r="AI33" s="10">
        <v>0</v>
      </c>
      <c r="AJ33" s="10">
        <v>49613</v>
      </c>
      <c r="AK33" s="10">
        <f>7502+35099+27016</f>
        <v>69617</v>
      </c>
      <c r="AL33" s="10">
        <v>3161</v>
      </c>
      <c r="AM33" s="10">
        <v>6212</v>
      </c>
      <c r="AN33" s="10">
        <v>30552</v>
      </c>
      <c r="AO33" s="10">
        <v>0</v>
      </c>
      <c r="AP33" s="10">
        <v>1147265</v>
      </c>
      <c r="AQ33" s="10">
        <v>1155691</v>
      </c>
      <c r="AR33" s="12">
        <f t="shared" si="5"/>
        <v>0</v>
      </c>
      <c r="AS33" s="10">
        <v>0</v>
      </c>
      <c r="AT33" s="10">
        <v>0</v>
      </c>
      <c r="AU33" s="10">
        <v>139662</v>
      </c>
      <c r="AV33" s="10">
        <v>0</v>
      </c>
      <c r="AW33" s="10">
        <v>128214</v>
      </c>
      <c r="AX33" s="10">
        <v>0</v>
      </c>
      <c r="AY33" s="10">
        <v>0</v>
      </c>
      <c r="AZ33" s="10">
        <v>0</v>
      </c>
      <c r="BA33" s="10">
        <v>8219</v>
      </c>
      <c r="BB33" s="10">
        <v>6164</v>
      </c>
      <c r="BC33" s="10">
        <v>147</v>
      </c>
      <c r="BD33" s="10">
        <f>5+51-8</f>
        <v>48</v>
      </c>
      <c r="BE33" s="10">
        <v>-268</v>
      </c>
      <c r="BF33" s="10">
        <v>-4506</v>
      </c>
      <c r="BG33" s="10">
        <v>-792</v>
      </c>
      <c r="BH33" s="10">
        <v>-2</v>
      </c>
      <c r="BI33" s="10">
        <f t="shared" si="6"/>
        <v>9010</v>
      </c>
      <c r="BJ33" s="1">
        <v>2</v>
      </c>
      <c r="BK33" s="1">
        <v>117</v>
      </c>
      <c r="BL33" s="1">
        <v>41</v>
      </c>
      <c r="BM33" s="1">
        <v>471</v>
      </c>
      <c r="BN33" s="1">
        <v>149</v>
      </c>
      <c r="BO33" s="1">
        <v>14</v>
      </c>
      <c r="BP33" s="1">
        <v>3</v>
      </c>
      <c r="BQ33" s="1">
        <v>0</v>
      </c>
      <c r="BR33" s="1">
        <v>16</v>
      </c>
      <c r="BS33" s="1">
        <v>58</v>
      </c>
      <c r="BT33" s="1">
        <v>0</v>
      </c>
      <c r="BU33" s="1">
        <v>23</v>
      </c>
      <c r="BV33" s="1">
        <v>17</v>
      </c>
      <c r="BW33" s="1">
        <v>134</v>
      </c>
      <c r="BX33" s="1">
        <v>1146</v>
      </c>
      <c r="BY33" s="1">
        <v>43</v>
      </c>
    </row>
    <row r="34" spans="1:77">
      <c r="A34" s="31">
        <v>3</v>
      </c>
      <c r="B34" s="7" t="s">
        <v>708</v>
      </c>
      <c r="C34" s="38" t="s">
        <v>575</v>
      </c>
      <c r="D34" s="7" t="s">
        <v>523</v>
      </c>
      <c r="E34" s="7" t="s">
        <v>503</v>
      </c>
      <c r="F34" s="7" t="s">
        <v>695</v>
      </c>
      <c r="G34" s="7" t="s">
        <v>516</v>
      </c>
      <c r="H34" s="10">
        <v>26515933</v>
      </c>
      <c r="I34" s="10">
        <v>26629415</v>
      </c>
      <c r="J34" s="10">
        <v>642403</v>
      </c>
      <c r="K34" s="48">
        <v>12508769</v>
      </c>
      <c r="L34" s="48">
        <v>1754021</v>
      </c>
      <c r="M34" s="48">
        <v>3918496</v>
      </c>
      <c r="N34" s="48">
        <v>0</v>
      </c>
      <c r="O34" s="48">
        <v>65507</v>
      </c>
      <c r="P34" s="48">
        <v>1691115</v>
      </c>
      <c r="Q34" s="48">
        <v>0</v>
      </c>
      <c r="R34" s="10">
        <v>2424895</v>
      </c>
      <c r="S34" s="10">
        <v>823543</v>
      </c>
      <c r="T34" s="10">
        <v>3561</v>
      </c>
      <c r="U34" s="10">
        <v>0</v>
      </c>
      <c r="V34" s="10">
        <v>24275260</v>
      </c>
      <c r="W34" s="12">
        <v>0.12870000000000001</v>
      </c>
      <c r="X34" s="10">
        <v>0</v>
      </c>
      <c r="Y34" s="22">
        <f>1055719/24259368</f>
        <v>4.3517992719348662E-2</v>
      </c>
      <c r="Z34" s="10">
        <v>1056439</v>
      </c>
      <c r="AA34" s="10">
        <v>0</v>
      </c>
      <c r="AB34" s="10">
        <f>101931+6638+4370</f>
        <v>112939</v>
      </c>
      <c r="AC34" s="10">
        <v>434140</v>
      </c>
      <c r="AD34" s="10">
        <v>37862</v>
      </c>
      <c r="AE34" s="10">
        <v>66089</v>
      </c>
      <c r="AF34" s="10">
        <v>117345</v>
      </c>
      <c r="AG34" s="10">
        <v>10857</v>
      </c>
      <c r="AH34" s="10">
        <v>35147</v>
      </c>
      <c r="AI34" s="10">
        <v>34163</v>
      </c>
      <c r="AJ34" s="10">
        <v>0</v>
      </c>
      <c r="AK34" s="10">
        <f>12037+22231+32547</f>
        <v>66815</v>
      </c>
      <c r="AL34" s="10">
        <v>10378</v>
      </c>
      <c r="AM34" s="10">
        <v>2908</v>
      </c>
      <c r="AN34" s="10">
        <v>128274</v>
      </c>
      <c r="AO34" s="10">
        <v>0</v>
      </c>
      <c r="AP34" s="10">
        <v>1033334</v>
      </c>
      <c r="AQ34" s="10">
        <v>1053236</v>
      </c>
      <c r="AR34" s="12">
        <f t="shared" si="5"/>
        <v>0</v>
      </c>
      <c r="AS34" s="10">
        <v>0</v>
      </c>
      <c r="AT34" s="10">
        <v>0</v>
      </c>
      <c r="AU34" s="10">
        <v>139662</v>
      </c>
      <c r="AV34" s="10">
        <v>0</v>
      </c>
      <c r="AW34" s="10">
        <v>98419</v>
      </c>
      <c r="AX34" s="10">
        <v>0</v>
      </c>
      <c r="AY34" s="10">
        <v>0</v>
      </c>
      <c r="AZ34" s="10">
        <v>0</v>
      </c>
      <c r="BA34" s="10">
        <v>0</v>
      </c>
      <c r="BB34" s="10">
        <f>1794+5</f>
        <v>1799</v>
      </c>
      <c r="BC34" s="10">
        <v>0</v>
      </c>
      <c r="BD34" s="10">
        <f>2551+27</f>
        <v>2578</v>
      </c>
      <c r="BE34" s="10">
        <v>-279</v>
      </c>
      <c r="BF34" s="10">
        <v>-641</v>
      </c>
      <c r="BG34" s="10">
        <v>-178</v>
      </c>
      <c r="BH34" s="10">
        <v>-6</v>
      </c>
      <c r="BI34" s="10">
        <f t="shared" si="6"/>
        <v>3273</v>
      </c>
      <c r="BJ34" s="1">
        <v>7</v>
      </c>
      <c r="BK34" s="1">
        <v>77</v>
      </c>
      <c r="BL34" s="1">
        <v>19</v>
      </c>
      <c r="BM34" s="1">
        <v>58</v>
      </c>
      <c r="BN34" s="1">
        <v>20</v>
      </c>
      <c r="BO34" s="1">
        <v>3</v>
      </c>
      <c r="BP34" s="1">
        <v>30</v>
      </c>
      <c r="BQ34" s="1">
        <v>7</v>
      </c>
      <c r="BR34" s="1">
        <v>61</v>
      </c>
      <c r="BS34" s="1">
        <v>49</v>
      </c>
      <c r="BT34" s="1">
        <v>0</v>
      </c>
      <c r="BU34" s="1">
        <v>80</v>
      </c>
      <c r="BV34" s="1">
        <v>13</v>
      </c>
      <c r="BW34" s="1">
        <v>67</v>
      </c>
      <c r="BX34" s="1">
        <v>99</v>
      </c>
      <c r="BY34" s="1">
        <v>4</v>
      </c>
    </row>
    <row r="35" spans="1:77">
      <c r="A35" s="1">
        <v>3</v>
      </c>
      <c r="B35" s="1" t="s">
        <v>711</v>
      </c>
      <c r="C35" s="7" t="s">
        <v>565</v>
      </c>
      <c r="D35" s="1" t="s">
        <v>402</v>
      </c>
      <c r="E35" s="1" t="s">
        <v>472</v>
      </c>
      <c r="F35" s="7"/>
      <c r="G35" s="7" t="s">
        <v>467</v>
      </c>
      <c r="H35" s="10">
        <v>29954889</v>
      </c>
      <c r="I35" s="10">
        <v>30099284</v>
      </c>
      <c r="J35" s="10">
        <v>1565238</v>
      </c>
      <c r="K35" s="48">
        <v>0</v>
      </c>
      <c r="L35" s="48">
        <v>0</v>
      </c>
      <c r="M35" s="48">
        <v>0</v>
      </c>
      <c r="N35" s="48">
        <v>16914063</v>
      </c>
      <c r="O35" s="48">
        <v>0</v>
      </c>
      <c r="P35" s="48">
        <v>3646641</v>
      </c>
      <c r="Q35" s="48">
        <v>0</v>
      </c>
      <c r="R35" s="10">
        <v>4887057</v>
      </c>
      <c r="S35" s="10">
        <v>1948231</v>
      </c>
      <c r="T35" s="10">
        <v>0</v>
      </c>
      <c r="U35" s="10">
        <v>0</v>
      </c>
      <c r="V35" s="10">
        <v>28486017</v>
      </c>
      <c r="W35" s="12">
        <v>0.10136000000000001</v>
      </c>
      <c r="X35" s="10">
        <v>0</v>
      </c>
      <c r="Y35" s="22">
        <f>1092973/28135368</f>
        <v>3.8846941685639229E-2</v>
      </c>
      <c r="Z35" s="10">
        <v>1090025</v>
      </c>
      <c r="AA35" s="10">
        <v>0</v>
      </c>
      <c r="AB35" s="10">
        <f>119008+5265+4667</f>
        <v>128940</v>
      </c>
      <c r="AC35" s="10">
        <v>571818</v>
      </c>
      <c r="AD35" s="10">
        <v>47233</v>
      </c>
      <c r="AE35" s="10">
        <v>95018</v>
      </c>
      <c r="AF35" s="10">
        <f>133223+15006</f>
        <v>148229</v>
      </c>
      <c r="AG35" s="10">
        <v>5969</v>
      </c>
      <c r="AH35" s="10">
        <v>28258</v>
      </c>
      <c r="AI35" s="10">
        <v>2879</v>
      </c>
      <c r="AJ35" s="10">
        <v>0</v>
      </c>
      <c r="AK35" s="10">
        <f>10879+53336+36052</f>
        <v>100267</v>
      </c>
      <c r="AL35" s="10">
        <v>7752</v>
      </c>
      <c r="AM35" s="10">
        <v>31153</v>
      </c>
      <c r="AN35" s="10">
        <v>19232</v>
      </c>
      <c r="AO35" s="10">
        <v>0</v>
      </c>
      <c r="AP35" s="10">
        <v>1134135</v>
      </c>
      <c r="AQ35" s="10">
        <v>1141885</v>
      </c>
      <c r="AR35" s="12">
        <f t="shared" si="5"/>
        <v>0</v>
      </c>
      <c r="AS35" s="10">
        <v>0</v>
      </c>
      <c r="AT35" s="10">
        <v>0</v>
      </c>
      <c r="AU35" s="10">
        <v>139662</v>
      </c>
      <c r="AV35" s="10">
        <v>0</v>
      </c>
      <c r="AW35" s="10">
        <v>97678</v>
      </c>
      <c r="AX35" s="10">
        <v>0</v>
      </c>
      <c r="AY35" s="10">
        <v>0</v>
      </c>
      <c r="AZ35" s="10">
        <v>0</v>
      </c>
      <c r="BA35" s="10">
        <v>7551</v>
      </c>
      <c r="BB35" s="10">
        <v>4822</v>
      </c>
      <c r="BC35" s="10">
        <v>248</v>
      </c>
      <c r="BD35" s="10">
        <f>46-6+3</f>
        <v>43</v>
      </c>
      <c r="BE35" s="10">
        <v>-320</v>
      </c>
      <c r="BF35" s="10">
        <v>-3233</v>
      </c>
      <c r="BG35" s="10">
        <v>-980</v>
      </c>
      <c r="BH35" s="10">
        <v>0</v>
      </c>
      <c r="BI35" s="10">
        <f t="shared" si="6"/>
        <v>8131</v>
      </c>
      <c r="BJ35" s="1">
        <v>19</v>
      </c>
      <c r="BK35" s="1">
        <v>112</v>
      </c>
      <c r="BL35" s="1">
        <v>35</v>
      </c>
      <c r="BM35" s="1">
        <v>310</v>
      </c>
      <c r="BN35" s="1">
        <v>518</v>
      </c>
      <c r="BO35" s="1">
        <v>0</v>
      </c>
      <c r="BP35" s="1">
        <v>4</v>
      </c>
      <c r="BQ35" s="1">
        <v>4</v>
      </c>
      <c r="BR35" s="1">
        <v>52</v>
      </c>
      <c r="BS35" s="1">
        <v>990</v>
      </c>
      <c r="BT35" s="1"/>
      <c r="BU35" s="1">
        <v>0</v>
      </c>
      <c r="BV35" s="1">
        <v>0</v>
      </c>
      <c r="BW35" s="1">
        <v>8</v>
      </c>
      <c r="BX35" s="1">
        <v>138</v>
      </c>
      <c r="BY35" s="1">
        <v>0</v>
      </c>
    </row>
    <row r="36" spans="1:77">
      <c r="A36" s="31">
        <v>4</v>
      </c>
      <c r="B36" s="7" t="s">
        <v>90</v>
      </c>
      <c r="C36" s="38" t="s">
        <v>650</v>
      </c>
      <c r="D36" s="7" t="s">
        <v>373</v>
      </c>
      <c r="E36" s="7" t="s">
        <v>414</v>
      </c>
      <c r="F36" s="7"/>
      <c r="G36" s="7" t="s">
        <v>409</v>
      </c>
      <c r="H36" s="10">
        <v>3453571</v>
      </c>
      <c r="I36" s="10">
        <v>3796262</v>
      </c>
      <c r="J36" s="10">
        <v>165642</v>
      </c>
      <c r="K36" s="48">
        <v>0</v>
      </c>
      <c r="L36" s="48">
        <v>0</v>
      </c>
      <c r="M36" s="48">
        <v>0</v>
      </c>
      <c r="N36" s="48">
        <v>1646822</v>
      </c>
      <c r="O36" s="48">
        <v>0</v>
      </c>
      <c r="P36" s="48">
        <v>0</v>
      </c>
      <c r="Q36" s="48">
        <v>288432</v>
      </c>
      <c r="R36" s="10">
        <v>1142789</v>
      </c>
      <c r="S36" s="10">
        <v>8090</v>
      </c>
      <c r="T36" s="10">
        <v>0</v>
      </c>
      <c r="U36" s="10">
        <v>0</v>
      </c>
      <c r="V36" s="10">
        <v>3318278</v>
      </c>
      <c r="W36" s="12">
        <v>8.77E-2</v>
      </c>
      <c r="X36" s="10">
        <v>0</v>
      </c>
      <c r="Y36" s="22">
        <f>232279/3318278</f>
        <v>6.999986137388127E-2</v>
      </c>
      <c r="Z36" s="10">
        <v>232145</v>
      </c>
      <c r="AA36" s="10">
        <v>0</v>
      </c>
      <c r="AB36" s="10">
        <v>9329</v>
      </c>
      <c r="AC36" s="10">
        <v>85991</v>
      </c>
      <c r="AD36" s="10">
        <v>7260</v>
      </c>
      <c r="AE36" s="10">
        <v>2790</v>
      </c>
      <c r="AF36" s="10">
        <v>24131</v>
      </c>
      <c r="AG36" s="10">
        <v>16429</v>
      </c>
      <c r="AH36" s="10">
        <v>16306</v>
      </c>
      <c r="AI36" s="10">
        <v>270</v>
      </c>
      <c r="AJ36" s="10">
        <v>4036</v>
      </c>
      <c r="AK36" s="10">
        <f>3458+5106+4540</f>
        <v>13104</v>
      </c>
      <c r="AL36" s="10">
        <v>250</v>
      </c>
      <c r="AM36" s="10">
        <v>2478</v>
      </c>
      <c r="AN36" s="10">
        <v>17429</v>
      </c>
      <c r="AO36" s="10">
        <v>0</v>
      </c>
      <c r="AP36" s="10">
        <v>206779</v>
      </c>
      <c r="AQ36" s="10">
        <v>273819</v>
      </c>
      <c r="AR36" s="12">
        <v>0</v>
      </c>
      <c r="AS36" s="10">
        <v>0</v>
      </c>
      <c r="AT36" s="10">
        <v>0</v>
      </c>
      <c r="AU36" s="10">
        <v>58884</v>
      </c>
      <c r="AV36" s="10">
        <v>0</v>
      </c>
      <c r="AW36" s="10">
        <v>34315</v>
      </c>
      <c r="AX36" s="10">
        <v>0</v>
      </c>
      <c r="AY36" s="10">
        <v>0</v>
      </c>
      <c r="AZ36" s="10">
        <v>0</v>
      </c>
      <c r="BA36" s="10">
        <v>0</v>
      </c>
      <c r="BB36" s="10">
        <v>383</v>
      </c>
      <c r="BC36" s="10">
        <v>0</v>
      </c>
      <c r="BD36" s="10">
        <v>1917</v>
      </c>
      <c r="BE36" s="10">
        <v>-78</v>
      </c>
      <c r="BF36" s="10">
        <v>-134</v>
      </c>
      <c r="BG36" s="10">
        <v>-102</v>
      </c>
      <c r="BH36" s="10">
        <v>-2</v>
      </c>
      <c r="BI36" s="10">
        <f t="shared" si="6"/>
        <v>1984</v>
      </c>
      <c r="BJ36" s="1">
        <v>4</v>
      </c>
      <c r="BK36" s="1">
        <v>9</v>
      </c>
      <c r="BL36" s="1">
        <v>15</v>
      </c>
      <c r="BM36" s="1">
        <v>68</v>
      </c>
      <c r="BN36" s="1">
        <v>4</v>
      </c>
      <c r="BO36" s="1">
        <v>0</v>
      </c>
      <c r="BP36" s="1">
        <v>0</v>
      </c>
      <c r="BQ36" s="1">
        <v>1</v>
      </c>
      <c r="BR36" s="1">
        <v>12</v>
      </c>
      <c r="BS36" s="1">
        <v>48</v>
      </c>
      <c r="BT36" s="1">
        <v>0</v>
      </c>
      <c r="BU36" s="1">
        <v>1</v>
      </c>
      <c r="BV36" s="1">
        <v>9</v>
      </c>
      <c r="BW36" s="1">
        <v>9</v>
      </c>
      <c r="BX36" s="1">
        <v>78</v>
      </c>
      <c r="BY36" s="1">
        <v>0</v>
      </c>
    </row>
    <row r="37" spans="1:77">
      <c r="A37" s="31">
        <v>4</v>
      </c>
      <c r="B37" s="7" t="s">
        <v>103</v>
      </c>
      <c r="C37" s="38" t="s">
        <v>289</v>
      </c>
      <c r="D37" s="7" t="s">
        <v>268</v>
      </c>
      <c r="E37" s="7" t="s">
        <v>596</v>
      </c>
      <c r="F37" s="7"/>
      <c r="G37" s="7" t="s">
        <v>615</v>
      </c>
      <c r="H37" s="10">
        <v>5049467</v>
      </c>
      <c r="I37" s="10">
        <v>5851770</v>
      </c>
      <c r="J37" s="10">
        <v>125028</v>
      </c>
      <c r="K37" s="48">
        <v>0</v>
      </c>
      <c r="L37" s="48">
        <v>0</v>
      </c>
      <c r="M37" s="48">
        <v>3070503</v>
      </c>
      <c r="N37" s="48">
        <v>0</v>
      </c>
      <c r="O37" s="48">
        <v>0</v>
      </c>
      <c r="P37" s="48">
        <v>133277</v>
      </c>
      <c r="Q37" s="48">
        <v>0</v>
      </c>
      <c r="R37" s="10">
        <v>717062</v>
      </c>
      <c r="S37" s="10">
        <v>272758</v>
      </c>
      <c r="T37" s="10">
        <v>0</v>
      </c>
      <c r="U37" s="10">
        <v>0</v>
      </c>
      <c r="V37" s="10">
        <v>4496329</v>
      </c>
      <c r="W37" s="12">
        <v>0.24</v>
      </c>
      <c r="X37" s="10">
        <v>0</v>
      </c>
      <c r="Y37" s="22">
        <f>303164/4496229</f>
        <v>6.7426281001256833E-2</v>
      </c>
      <c r="Z37" s="10">
        <v>302629</v>
      </c>
      <c r="AA37" s="10">
        <v>0</v>
      </c>
      <c r="AB37" s="10">
        <f>6558+391</f>
        <v>6949</v>
      </c>
      <c r="AC37" s="10">
        <v>87978</v>
      </c>
      <c r="AD37" s="10">
        <v>6429</v>
      </c>
      <c r="AE37" s="10">
        <v>8968</v>
      </c>
      <c r="AF37" s="10">
        <v>17934</v>
      </c>
      <c r="AG37" s="10">
        <v>269</v>
      </c>
      <c r="AH37" s="10">
        <v>21993</v>
      </c>
      <c r="AI37" s="10">
        <v>1275</v>
      </c>
      <c r="AJ37" s="10">
        <v>750</v>
      </c>
      <c r="AK37" s="10">
        <f>7976+6474+15555</f>
        <v>30005</v>
      </c>
      <c r="AL37" s="10">
        <v>844</v>
      </c>
      <c r="AM37" s="10">
        <v>0</v>
      </c>
      <c r="AN37" s="10">
        <v>22880</v>
      </c>
      <c r="AO37" s="10">
        <v>0</v>
      </c>
      <c r="AP37" s="10">
        <v>226113</v>
      </c>
      <c r="AQ37" s="10">
        <v>237094</v>
      </c>
      <c r="AR37" s="12">
        <f t="shared" ref="AR37:AR68" si="7">AO37/AP37</f>
        <v>0</v>
      </c>
      <c r="AS37" s="10">
        <v>0</v>
      </c>
      <c r="AT37" s="10">
        <v>0</v>
      </c>
      <c r="AU37" s="10">
        <v>93521</v>
      </c>
      <c r="AV37" s="10">
        <v>0</v>
      </c>
      <c r="AW37" s="10">
        <v>55944</v>
      </c>
      <c r="AX37" s="10">
        <v>0</v>
      </c>
      <c r="AY37" s="10">
        <v>0</v>
      </c>
      <c r="AZ37" s="10">
        <v>0</v>
      </c>
      <c r="BA37" s="10">
        <v>0</v>
      </c>
      <c r="BB37" s="10">
        <v>707</v>
      </c>
      <c r="BC37" s="10">
        <v>1</v>
      </c>
      <c r="BD37" s="10">
        <f>1334+4-2</f>
        <v>1336</v>
      </c>
      <c r="BE37" s="10">
        <v>-69</v>
      </c>
      <c r="BF37" s="10">
        <v>-251</v>
      </c>
      <c r="BG37" s="10">
        <v>-28</v>
      </c>
      <c r="BH37" s="10">
        <v>0</v>
      </c>
      <c r="BI37" s="10">
        <f t="shared" si="6"/>
        <v>1696</v>
      </c>
      <c r="BJ37" s="1">
        <v>0</v>
      </c>
      <c r="BK37" s="1">
        <v>22</v>
      </c>
      <c r="BL37" s="1">
        <v>2</v>
      </c>
      <c r="BM37" s="1">
        <v>3</v>
      </c>
      <c r="BN37" s="1">
        <v>0</v>
      </c>
      <c r="BO37" s="1">
        <v>2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</row>
    <row r="38" spans="1:77">
      <c r="A38" s="1">
        <v>4</v>
      </c>
      <c r="B38" s="1" t="s">
        <v>156</v>
      </c>
      <c r="C38" s="7" t="s">
        <v>213</v>
      </c>
      <c r="D38" s="1" t="s">
        <v>60</v>
      </c>
      <c r="E38" s="1" t="s">
        <v>414</v>
      </c>
      <c r="F38" s="7"/>
      <c r="G38" s="7" t="s">
        <v>409</v>
      </c>
      <c r="H38" s="10">
        <v>26237765</v>
      </c>
      <c r="I38" s="10">
        <v>26278200</v>
      </c>
      <c r="J38" s="10">
        <v>2291864</v>
      </c>
      <c r="K38" s="48">
        <v>0</v>
      </c>
      <c r="L38" s="48">
        <v>5405852</v>
      </c>
      <c r="M38" s="48">
        <v>3547199</v>
      </c>
      <c r="N38" s="48">
        <v>0</v>
      </c>
      <c r="O38" s="48">
        <v>0</v>
      </c>
      <c r="P38" s="48">
        <v>1868043</v>
      </c>
      <c r="Q38" s="48">
        <v>0</v>
      </c>
      <c r="R38" s="10">
        <v>7565968</v>
      </c>
      <c r="S38" s="10">
        <v>1366341</v>
      </c>
      <c r="T38" s="10">
        <v>78502</v>
      </c>
      <c r="U38" s="10">
        <v>0</v>
      </c>
      <c r="V38" s="10">
        <v>21138314</v>
      </c>
      <c r="W38" s="12">
        <v>0.21</v>
      </c>
      <c r="X38" s="10">
        <v>0</v>
      </c>
      <c r="Y38" s="22">
        <f>1294507/21059812</f>
        <v>6.1468117569140696E-2</v>
      </c>
      <c r="Z38" s="10">
        <v>1304969</v>
      </c>
      <c r="AA38" s="10">
        <v>0</v>
      </c>
      <c r="AB38" s="10">
        <f>37552+7623+1123</f>
        <v>46298</v>
      </c>
      <c r="AC38" s="10">
        <v>570326</v>
      </c>
      <c r="AD38" s="10">
        <v>43931</v>
      </c>
      <c r="AE38" s="10">
        <v>32400</v>
      </c>
      <c r="AF38" s="10">
        <v>101490</v>
      </c>
      <c r="AG38" s="10">
        <v>33518</v>
      </c>
      <c r="AH38" s="10">
        <v>22114</v>
      </c>
      <c r="AI38" s="10">
        <v>6625</v>
      </c>
      <c r="AJ38" s="10">
        <v>103508</v>
      </c>
      <c r="AK38" s="10">
        <f>7162+38416+28516</f>
        <v>74094</v>
      </c>
      <c r="AL38" s="10">
        <v>5541</v>
      </c>
      <c r="AM38" s="10">
        <v>17465</v>
      </c>
      <c r="AN38" s="10">
        <v>26567</v>
      </c>
      <c r="AO38" s="10">
        <v>0</v>
      </c>
      <c r="AP38" s="10">
        <v>1184559</v>
      </c>
      <c r="AQ38" s="10">
        <v>1218616</v>
      </c>
      <c r="AR38" s="12">
        <f t="shared" si="7"/>
        <v>0</v>
      </c>
      <c r="AS38" s="10">
        <v>0</v>
      </c>
      <c r="AT38" s="10">
        <v>0</v>
      </c>
      <c r="AU38" s="10">
        <v>139662</v>
      </c>
      <c r="AV38" s="10">
        <v>0</v>
      </c>
      <c r="AW38" s="10">
        <v>208241</v>
      </c>
      <c r="AX38" s="10">
        <v>6866</v>
      </c>
      <c r="AY38" s="10">
        <v>6866</v>
      </c>
      <c r="AZ38" s="10">
        <v>0</v>
      </c>
      <c r="BA38" s="10">
        <v>8257</v>
      </c>
      <c r="BB38" s="10">
        <v>4270</v>
      </c>
      <c r="BC38" s="10">
        <v>0</v>
      </c>
      <c r="BD38" s="10">
        <v>-1924</v>
      </c>
      <c r="BE38" s="10">
        <v>-758</v>
      </c>
      <c r="BF38" s="10">
        <v>-2208</v>
      </c>
      <c r="BG38" s="10">
        <v>-637</v>
      </c>
      <c r="BH38" s="10">
        <v>-3</v>
      </c>
      <c r="BI38" s="10">
        <f t="shared" si="6"/>
        <v>6997</v>
      </c>
      <c r="BJ38" s="1">
        <v>5</v>
      </c>
      <c r="BK38" s="1">
        <v>313</v>
      </c>
      <c r="BL38" s="1">
        <v>94</v>
      </c>
      <c r="BM38" s="1">
        <v>209</v>
      </c>
      <c r="BN38" s="1">
        <v>0</v>
      </c>
      <c r="BO38" s="1">
        <v>21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</row>
    <row r="39" spans="1:77">
      <c r="A39" s="31">
        <v>4</v>
      </c>
      <c r="B39" s="7" t="s">
        <v>264</v>
      </c>
      <c r="C39" s="38" t="s">
        <v>332</v>
      </c>
      <c r="D39" s="7" t="s">
        <v>262</v>
      </c>
      <c r="E39" s="7" t="s">
        <v>414</v>
      </c>
      <c r="F39" s="7"/>
      <c r="G39" s="7" t="s">
        <v>409</v>
      </c>
      <c r="H39" s="10">
        <v>4221687</v>
      </c>
      <c r="I39" s="10">
        <v>4887815</v>
      </c>
      <c r="J39" s="10">
        <v>165580</v>
      </c>
      <c r="K39" s="48">
        <v>0</v>
      </c>
      <c r="L39" s="48">
        <v>802226</v>
      </c>
      <c r="M39" s="48">
        <v>526373</v>
      </c>
      <c r="N39" s="48">
        <v>0</v>
      </c>
      <c r="O39" s="48">
        <v>0</v>
      </c>
      <c r="P39" s="48">
        <v>287836</v>
      </c>
      <c r="Q39" s="48">
        <v>0</v>
      </c>
      <c r="R39" s="10">
        <v>2231392</v>
      </c>
      <c r="S39" s="10">
        <v>43094</v>
      </c>
      <c r="T39" s="10">
        <v>0</v>
      </c>
      <c r="U39" s="10">
        <v>1060</v>
      </c>
      <c r="V39" s="10">
        <v>4310163</v>
      </c>
      <c r="W39" s="12">
        <v>0.1</v>
      </c>
      <c r="X39" s="10">
        <v>0</v>
      </c>
      <c r="Y39" s="22">
        <f>413674/4309103</f>
        <v>9.6000025991488255E-2</v>
      </c>
      <c r="Z39" s="10">
        <v>418182</v>
      </c>
      <c r="AA39" s="10">
        <v>0</v>
      </c>
      <c r="AB39" s="10">
        <f>5040+211</f>
        <v>5251</v>
      </c>
      <c r="AC39" s="10">
        <v>86898</v>
      </c>
      <c r="AD39" s="10">
        <v>5807</v>
      </c>
      <c r="AE39" s="10">
        <v>9412</v>
      </c>
      <c r="AF39" s="10">
        <v>31990</v>
      </c>
      <c r="AG39" s="10">
        <v>20235</v>
      </c>
      <c r="AH39" s="10">
        <v>39892</v>
      </c>
      <c r="AI39" s="10">
        <v>4700</v>
      </c>
      <c r="AJ39" s="10">
        <v>3892</v>
      </c>
      <c r="AK39" s="10">
        <f>5869+4999+15473</f>
        <v>26341</v>
      </c>
      <c r="AL39" s="10">
        <v>5936</v>
      </c>
      <c r="AM39" s="10">
        <v>2281</v>
      </c>
      <c r="AN39" s="10">
        <v>60180</v>
      </c>
      <c r="AO39" s="10">
        <v>0</v>
      </c>
      <c r="AP39" s="10">
        <v>308765</v>
      </c>
      <c r="AQ39" s="10">
        <v>407211</v>
      </c>
      <c r="AR39" s="12">
        <f t="shared" si="7"/>
        <v>0</v>
      </c>
      <c r="AS39" s="10">
        <v>0</v>
      </c>
      <c r="AT39" s="10">
        <v>0</v>
      </c>
      <c r="AU39" s="10">
        <v>82360</v>
      </c>
      <c r="AV39" s="10">
        <v>0</v>
      </c>
      <c r="AW39" s="10">
        <v>73368</v>
      </c>
      <c r="AX39" s="10">
        <v>0</v>
      </c>
      <c r="AY39" s="10">
        <v>0</v>
      </c>
      <c r="AZ39" s="10">
        <v>0</v>
      </c>
      <c r="BA39" s="10">
        <v>0</v>
      </c>
      <c r="BB39" s="10">
        <v>652</v>
      </c>
      <c r="BC39" s="10">
        <v>0</v>
      </c>
      <c r="BD39" s="10">
        <v>1924</v>
      </c>
      <c r="BE39" s="10">
        <v>0</v>
      </c>
      <c r="BF39" s="10">
        <f>-48-215</f>
        <v>-263</v>
      </c>
      <c r="BG39" s="10">
        <v>-108</v>
      </c>
      <c r="BH39" s="10">
        <v>-1</v>
      </c>
      <c r="BI39" s="10">
        <f t="shared" si="6"/>
        <v>2204</v>
      </c>
      <c r="BJ39" s="1">
        <v>6</v>
      </c>
      <c r="BK39" s="1">
        <v>29</v>
      </c>
      <c r="BL39" s="1">
        <v>24</v>
      </c>
      <c r="BM39" s="1">
        <v>52</v>
      </c>
      <c r="BN39" s="1">
        <v>0</v>
      </c>
      <c r="BO39" s="1">
        <v>3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</row>
    <row r="40" spans="1:77">
      <c r="A40" s="31">
        <v>4</v>
      </c>
      <c r="B40" s="7" t="s">
        <v>265</v>
      </c>
      <c r="C40" s="38" t="s">
        <v>340</v>
      </c>
      <c r="D40" s="7" t="s">
        <v>143</v>
      </c>
      <c r="E40" s="7" t="s">
        <v>596</v>
      </c>
      <c r="F40" s="7"/>
      <c r="G40" s="7" t="s">
        <v>615</v>
      </c>
      <c r="H40" s="10">
        <v>19159006</v>
      </c>
      <c r="I40" s="10">
        <v>19182706</v>
      </c>
      <c r="J40" s="10">
        <v>308327</v>
      </c>
      <c r="K40" s="48">
        <v>0</v>
      </c>
      <c r="L40" s="48">
        <v>9914617</v>
      </c>
      <c r="M40" s="48">
        <v>2143664</v>
      </c>
      <c r="N40" s="48">
        <v>0</v>
      </c>
      <c r="O40" s="48">
        <v>0</v>
      </c>
      <c r="P40" s="48">
        <v>970803</v>
      </c>
      <c r="Q40" s="48">
        <v>0</v>
      </c>
      <c r="R40" s="10">
        <v>4361515</v>
      </c>
      <c r="S40" s="10">
        <v>630172</v>
      </c>
      <c r="T40" s="10">
        <v>3270</v>
      </c>
      <c r="U40" s="10">
        <v>0</v>
      </c>
      <c r="V40" s="10">
        <v>18694446</v>
      </c>
      <c r="W40" s="12">
        <v>0.11</v>
      </c>
      <c r="X40" s="10">
        <v>0</v>
      </c>
      <c r="Y40" s="22">
        <f>669376/18690471</f>
        <v>3.5813757716432082E-2</v>
      </c>
      <c r="Z40" s="10">
        <v>669700</v>
      </c>
      <c r="AA40" s="10">
        <v>0</v>
      </c>
      <c r="AB40" s="10">
        <f>23700+614</f>
        <v>24314</v>
      </c>
      <c r="AC40" s="10">
        <v>256050</v>
      </c>
      <c r="AD40" s="10">
        <v>16388</v>
      </c>
      <c r="AE40" s="10">
        <v>38205</v>
      </c>
      <c r="AF40" s="10">
        <f>58950+7735</f>
        <v>66685</v>
      </c>
      <c r="AG40" s="10">
        <v>664</v>
      </c>
      <c r="AH40" s="10">
        <v>16760</v>
      </c>
      <c r="AI40" s="10">
        <v>415</v>
      </c>
      <c r="AJ40" s="10">
        <v>3000</v>
      </c>
      <c r="AK40" s="10">
        <f>8878+23185+21491</f>
        <v>53554</v>
      </c>
      <c r="AL40" s="10">
        <v>3862</v>
      </c>
      <c r="AM40" s="10">
        <v>0</v>
      </c>
      <c r="AN40" s="10">
        <v>15698</v>
      </c>
      <c r="AO40" s="10">
        <v>0</v>
      </c>
      <c r="AP40" s="10">
        <v>533011</v>
      </c>
      <c r="AQ40" s="10">
        <v>544442</v>
      </c>
      <c r="AR40" s="12">
        <f t="shared" si="7"/>
        <v>0</v>
      </c>
      <c r="AS40" s="10">
        <v>2219</v>
      </c>
      <c r="AT40" s="10">
        <v>0</v>
      </c>
      <c r="AU40" s="10">
        <v>105439</v>
      </c>
      <c r="AV40" s="10">
        <v>0</v>
      </c>
      <c r="AW40" s="10">
        <v>96920</v>
      </c>
      <c r="AX40" s="10">
        <v>0</v>
      </c>
      <c r="AY40" s="10">
        <v>0</v>
      </c>
      <c r="AZ40" s="10">
        <v>0</v>
      </c>
      <c r="BA40" s="10">
        <v>5942</v>
      </c>
      <c r="BB40" s="10">
        <v>1244</v>
      </c>
      <c r="BC40" s="10">
        <v>84</v>
      </c>
      <c r="BD40" s="10">
        <f>7-1</f>
        <v>6</v>
      </c>
      <c r="BE40" s="10">
        <v>-80</v>
      </c>
      <c r="BF40" s="10">
        <v>-836</v>
      </c>
      <c r="BG40" s="10">
        <v>-618</v>
      </c>
      <c r="BH40" s="10">
        <v>-11</v>
      </c>
      <c r="BI40" s="10">
        <f t="shared" si="6"/>
        <v>5731</v>
      </c>
      <c r="BJ40" s="1">
        <v>2</v>
      </c>
      <c r="BK40" s="1">
        <v>196</v>
      </c>
      <c r="BL40" s="1">
        <v>59</v>
      </c>
      <c r="BM40" s="1">
        <v>363</v>
      </c>
      <c r="BN40" s="1" t="s">
        <v>455</v>
      </c>
      <c r="BO40" s="1" t="s">
        <v>455</v>
      </c>
      <c r="BP40" s="1" t="s">
        <v>455</v>
      </c>
      <c r="BQ40" s="1" t="s">
        <v>455</v>
      </c>
      <c r="BR40" s="1" t="s">
        <v>455</v>
      </c>
      <c r="BS40" s="1" t="s">
        <v>455</v>
      </c>
      <c r="BT40" s="1" t="s">
        <v>455</v>
      </c>
      <c r="BU40" s="1" t="s">
        <v>455</v>
      </c>
      <c r="BV40" s="1" t="s">
        <v>455</v>
      </c>
      <c r="BW40" s="1" t="s">
        <v>455</v>
      </c>
      <c r="BX40" s="1" t="s">
        <v>455</v>
      </c>
      <c r="BY40" s="1" t="s">
        <v>455</v>
      </c>
    </row>
    <row r="41" spans="1:77">
      <c r="A41" s="1">
        <v>4</v>
      </c>
      <c r="B41" s="1" t="s">
        <v>305</v>
      </c>
      <c r="C41" s="7" t="s">
        <v>565</v>
      </c>
      <c r="D41" s="1" t="s">
        <v>561</v>
      </c>
      <c r="E41" s="1" t="s">
        <v>674</v>
      </c>
      <c r="F41" s="7" t="s">
        <v>205</v>
      </c>
      <c r="G41" s="7" t="s">
        <v>680</v>
      </c>
      <c r="H41" s="10">
        <v>26188170</v>
      </c>
      <c r="I41" s="10">
        <v>26263480</v>
      </c>
      <c r="J41" s="10">
        <v>717466</v>
      </c>
      <c r="K41" s="48">
        <v>1956359</v>
      </c>
      <c r="L41" s="48">
        <v>0</v>
      </c>
      <c r="M41" s="48">
        <v>10816947</v>
      </c>
      <c r="N41" s="48">
        <v>0</v>
      </c>
      <c r="O41" s="48">
        <v>137722</v>
      </c>
      <c r="P41" s="48">
        <v>2079082</v>
      </c>
      <c r="Q41" s="48">
        <v>0</v>
      </c>
      <c r="R41" s="10">
        <v>7044540</v>
      </c>
      <c r="S41" s="10">
        <v>2472692</v>
      </c>
      <c r="T41" s="10">
        <v>7450</v>
      </c>
      <c r="U41" s="10">
        <v>0</v>
      </c>
      <c r="V41" s="10">
        <v>25304568</v>
      </c>
      <c r="W41" s="12">
        <v>0.06</v>
      </c>
      <c r="X41" s="10">
        <v>0</v>
      </c>
      <c r="Y41" s="22">
        <f>785147/25297118</f>
        <v>3.1037013781569901E-2</v>
      </c>
      <c r="Z41" s="10">
        <v>786567</v>
      </c>
      <c r="AA41" s="10">
        <v>0</v>
      </c>
      <c r="AB41" s="10">
        <f>69083+5492+1435</f>
        <v>76010</v>
      </c>
      <c r="AC41" s="10">
        <v>333134</v>
      </c>
      <c r="AD41" s="10">
        <v>26327</v>
      </c>
      <c r="AE41" s="10">
        <v>83870</v>
      </c>
      <c r="AF41" s="10">
        <v>63541</v>
      </c>
      <c r="AG41" s="10">
        <v>15385</v>
      </c>
      <c r="AH41" s="10">
        <v>44473</v>
      </c>
      <c r="AI41" s="10">
        <v>275</v>
      </c>
      <c r="AJ41" s="10">
        <v>0</v>
      </c>
      <c r="AK41" s="10">
        <f>12822+33754+31959</f>
        <v>78535</v>
      </c>
      <c r="AL41" s="10">
        <v>5538</v>
      </c>
      <c r="AM41" s="10">
        <v>10468</v>
      </c>
      <c r="AN41" s="10">
        <v>16763</v>
      </c>
      <c r="AO41" s="10">
        <v>42191</v>
      </c>
      <c r="AP41" s="10">
        <v>731675</v>
      </c>
      <c r="AQ41" s="10">
        <v>756354</v>
      </c>
      <c r="AR41" s="12">
        <f t="shared" si="7"/>
        <v>5.7663580141456248E-2</v>
      </c>
      <c r="AS41" s="10">
        <v>0</v>
      </c>
      <c r="AT41" s="10">
        <v>0</v>
      </c>
      <c r="AU41" s="10">
        <v>139662</v>
      </c>
      <c r="AV41" s="10">
        <v>0</v>
      </c>
      <c r="AW41" s="10">
        <v>113448</v>
      </c>
      <c r="AX41" s="10">
        <v>0</v>
      </c>
      <c r="AY41" s="10">
        <v>0</v>
      </c>
      <c r="AZ41" s="10">
        <v>0</v>
      </c>
      <c r="BA41" s="10">
        <v>5818</v>
      </c>
      <c r="BB41" s="10">
        <v>2854</v>
      </c>
      <c r="BC41" s="10">
        <v>0</v>
      </c>
      <c r="BD41" s="10">
        <v>-41</v>
      </c>
      <c r="BE41" s="10">
        <v>-295</v>
      </c>
      <c r="BF41" s="10">
        <v>-1319</v>
      </c>
      <c r="BG41" s="10">
        <v>-691</v>
      </c>
      <c r="BH41" s="10">
        <v>-1</v>
      </c>
      <c r="BI41" s="10">
        <f t="shared" si="6"/>
        <v>6325</v>
      </c>
      <c r="BJ41" s="1">
        <v>8</v>
      </c>
      <c r="BK41" s="1">
        <v>306</v>
      </c>
      <c r="BL41" s="1">
        <v>87</v>
      </c>
      <c r="BM41" s="1">
        <v>228</v>
      </c>
      <c r="BN41" s="1">
        <v>0</v>
      </c>
      <c r="BO41" s="1">
        <v>70</v>
      </c>
      <c r="BP41" s="1" t="s">
        <v>455</v>
      </c>
      <c r="BQ41" s="1" t="s">
        <v>455</v>
      </c>
      <c r="BR41" s="1" t="s">
        <v>455</v>
      </c>
      <c r="BS41" s="1" t="s">
        <v>455</v>
      </c>
      <c r="BT41" s="1" t="s">
        <v>455</v>
      </c>
      <c r="BU41" s="1" t="s">
        <v>455</v>
      </c>
      <c r="BV41" s="1" t="s">
        <v>455</v>
      </c>
      <c r="BW41" s="1" t="s">
        <v>455</v>
      </c>
      <c r="BX41" s="1" t="s">
        <v>455</v>
      </c>
      <c r="BY41" s="1" t="s">
        <v>455</v>
      </c>
    </row>
    <row r="42" spans="1:77">
      <c r="A42" s="1">
        <v>4</v>
      </c>
      <c r="B42" s="1" t="s">
        <v>365</v>
      </c>
      <c r="C42" s="7" t="s">
        <v>648</v>
      </c>
      <c r="D42" s="1" t="s">
        <v>86</v>
      </c>
      <c r="E42" s="1" t="s">
        <v>414</v>
      </c>
      <c r="F42" s="7"/>
      <c r="G42" s="7" t="s">
        <v>409</v>
      </c>
      <c r="H42" s="10">
        <v>29869117</v>
      </c>
      <c r="I42" s="10">
        <v>30016771</v>
      </c>
      <c r="J42" s="10">
        <v>2720795</v>
      </c>
      <c r="K42" s="48" t="s">
        <v>455</v>
      </c>
      <c r="L42" s="48" t="s">
        <v>455</v>
      </c>
      <c r="M42" s="48" t="s">
        <v>455</v>
      </c>
      <c r="N42" s="48">
        <v>13392127</v>
      </c>
      <c r="O42" s="48" t="s">
        <v>455</v>
      </c>
      <c r="P42" s="48" t="s">
        <v>455</v>
      </c>
      <c r="Q42" s="48">
        <v>3787037</v>
      </c>
      <c r="R42" s="10">
        <v>6464849</v>
      </c>
      <c r="S42" s="10">
        <v>874563</v>
      </c>
      <c r="T42" s="10">
        <v>37050</v>
      </c>
      <c r="U42" s="10">
        <v>0</v>
      </c>
      <c r="V42" s="10">
        <v>25645353</v>
      </c>
      <c r="W42" s="12">
        <v>0.11600000000000001</v>
      </c>
      <c r="X42" s="10">
        <v>0</v>
      </c>
      <c r="Y42" s="22">
        <f>1079185/25608303</f>
        <v>4.214199589875206E-2</v>
      </c>
      <c r="Z42" s="10">
        <v>1089727</v>
      </c>
      <c r="AA42" s="10">
        <v>0</v>
      </c>
      <c r="AB42" s="10">
        <f>134635+11184+1732</f>
        <v>147551</v>
      </c>
      <c r="AC42" s="10">
        <v>461755</v>
      </c>
      <c r="AD42" s="10">
        <v>0</v>
      </c>
      <c r="AE42" s="10">
        <v>122050</v>
      </c>
      <c r="AF42" s="10">
        <v>103904</v>
      </c>
      <c r="AG42" s="10">
        <v>32341</v>
      </c>
      <c r="AH42" s="10">
        <v>23818</v>
      </c>
      <c r="AI42" s="10">
        <v>275</v>
      </c>
      <c r="AJ42" s="10">
        <v>130382</v>
      </c>
      <c r="AK42" s="10">
        <f>9149+31700+33928</f>
        <v>74777</v>
      </c>
      <c r="AL42" s="10">
        <v>10178</v>
      </c>
      <c r="AM42" s="10">
        <v>3770</v>
      </c>
      <c r="AN42" s="10">
        <v>17582</v>
      </c>
      <c r="AO42" s="10">
        <v>0</v>
      </c>
      <c r="AP42" s="10">
        <v>1105225</v>
      </c>
      <c r="AQ42" s="10">
        <v>1134977</v>
      </c>
      <c r="AR42" s="12">
        <f t="shared" si="7"/>
        <v>0</v>
      </c>
      <c r="AS42" s="10">
        <v>0</v>
      </c>
      <c r="AT42" s="10">
        <v>0</v>
      </c>
      <c r="AU42" s="10">
        <v>139662</v>
      </c>
      <c r="AV42" s="10">
        <v>0</v>
      </c>
      <c r="AW42" s="10">
        <v>132744</v>
      </c>
      <c r="AX42" s="10">
        <v>0</v>
      </c>
      <c r="AY42" s="10">
        <v>0</v>
      </c>
      <c r="AZ42" s="10">
        <v>0</v>
      </c>
      <c r="BA42" s="10">
        <v>7735</v>
      </c>
      <c r="BB42" s="10">
        <v>4610</v>
      </c>
      <c r="BC42" s="10">
        <v>0</v>
      </c>
      <c r="BD42" s="10">
        <f>35-1916</f>
        <v>-1881</v>
      </c>
      <c r="BE42" s="10">
        <v>-853</v>
      </c>
      <c r="BF42" s="10">
        <v>-2292</v>
      </c>
      <c r="BG42" s="10">
        <v>-633</v>
      </c>
      <c r="BH42" s="10">
        <v>-4</v>
      </c>
      <c r="BI42" s="10">
        <f t="shared" si="6"/>
        <v>6682</v>
      </c>
      <c r="BJ42" s="1">
        <v>10</v>
      </c>
      <c r="BK42" s="1">
        <v>207</v>
      </c>
      <c r="BL42" s="1">
        <v>64</v>
      </c>
      <c r="BM42" s="1">
        <v>271</v>
      </c>
      <c r="BN42" s="1">
        <v>11</v>
      </c>
      <c r="BO42" s="1">
        <v>80</v>
      </c>
      <c r="BP42" s="48" t="s">
        <v>455</v>
      </c>
      <c r="BQ42" s="48" t="s">
        <v>455</v>
      </c>
      <c r="BR42" s="48" t="s">
        <v>455</v>
      </c>
      <c r="BS42" s="48" t="s">
        <v>455</v>
      </c>
      <c r="BT42" s="48" t="s">
        <v>455</v>
      </c>
      <c r="BU42" s="48" t="s">
        <v>455</v>
      </c>
      <c r="BV42" s="48" t="s">
        <v>455</v>
      </c>
      <c r="BW42" s="48" t="s">
        <v>455</v>
      </c>
      <c r="BX42" s="48" t="s">
        <v>455</v>
      </c>
      <c r="BY42" s="48" t="s">
        <v>455</v>
      </c>
    </row>
    <row r="43" spans="1:77">
      <c r="A43" s="31">
        <v>4</v>
      </c>
      <c r="B43" s="7" t="s">
        <v>379</v>
      </c>
      <c r="C43" s="7"/>
      <c r="D43" s="7" t="s">
        <v>143</v>
      </c>
      <c r="E43" s="7" t="s">
        <v>596</v>
      </c>
      <c r="F43" s="7"/>
      <c r="G43" s="7" t="s">
        <v>615</v>
      </c>
      <c r="H43" s="10">
        <v>6377691</v>
      </c>
      <c r="I43" s="10">
        <v>6386975</v>
      </c>
      <c r="J43" s="10">
        <v>123623</v>
      </c>
      <c r="K43" s="48">
        <v>0</v>
      </c>
      <c r="L43" s="48">
        <v>787471</v>
      </c>
      <c r="M43" s="48">
        <v>0</v>
      </c>
      <c r="N43" s="48">
        <v>344081</v>
      </c>
      <c r="O43" s="48">
        <v>0</v>
      </c>
      <c r="P43" s="48">
        <v>0</v>
      </c>
      <c r="Q43" s="48">
        <v>272053</v>
      </c>
      <c r="R43" s="10">
        <v>1544506</v>
      </c>
      <c r="S43" s="10">
        <v>204400</v>
      </c>
      <c r="T43" s="10">
        <v>2400</v>
      </c>
      <c r="U43" s="10">
        <v>0</v>
      </c>
      <c r="V43" s="10">
        <v>6475351</v>
      </c>
      <c r="W43" s="12">
        <v>0.31</v>
      </c>
      <c r="X43" s="10">
        <v>0</v>
      </c>
      <c r="Y43" s="22">
        <f>220074/6472751</f>
        <v>3.4000071994118114E-2</v>
      </c>
      <c r="Z43" s="10">
        <v>220240</v>
      </c>
      <c r="AA43" s="10">
        <v>0</v>
      </c>
      <c r="AB43" s="10">
        <f>9284+156</f>
        <v>9440</v>
      </c>
      <c r="AC43" s="10">
        <v>96446</v>
      </c>
      <c r="AD43" s="10">
        <v>7367</v>
      </c>
      <c r="AE43" s="10">
        <v>11757</v>
      </c>
      <c r="AF43" s="10">
        <f>17574+1867</f>
        <v>19441</v>
      </c>
      <c r="AG43" s="10">
        <v>0</v>
      </c>
      <c r="AH43" s="10">
        <v>3002</v>
      </c>
      <c r="AI43" s="10">
        <v>2043</v>
      </c>
      <c r="AJ43" s="10">
        <v>39209</v>
      </c>
      <c r="AK43" s="10">
        <f>2562+13700+10800</f>
        <v>27062</v>
      </c>
      <c r="AL43" s="10">
        <v>98</v>
      </c>
      <c r="AM43" s="10">
        <v>0</v>
      </c>
      <c r="AN43" s="10">
        <v>7680</v>
      </c>
      <c r="AO43" s="10">
        <v>17289</v>
      </c>
      <c r="AP43" s="10">
        <v>236838</v>
      </c>
      <c r="AQ43" s="10">
        <v>236838</v>
      </c>
      <c r="AR43" s="12">
        <f t="shared" si="7"/>
        <v>7.2999265320598888E-2</v>
      </c>
      <c r="AS43" s="10">
        <v>889</v>
      </c>
      <c r="AT43" s="10">
        <v>0</v>
      </c>
      <c r="AU43" s="10">
        <v>32722</v>
      </c>
      <c r="AV43" s="10">
        <v>0</v>
      </c>
      <c r="AW43" s="10">
        <v>34530</v>
      </c>
      <c r="AX43" s="10">
        <v>0</v>
      </c>
      <c r="AY43" s="10">
        <v>0</v>
      </c>
      <c r="AZ43" s="10">
        <v>0</v>
      </c>
      <c r="BA43" s="10">
        <v>5874</v>
      </c>
      <c r="BB43" s="10">
        <v>589</v>
      </c>
      <c r="BC43" s="10">
        <v>25</v>
      </c>
      <c r="BD43" s="10">
        <v>4</v>
      </c>
      <c r="BE43" s="10">
        <v>-26</v>
      </c>
      <c r="BF43" s="10">
        <v>-329</v>
      </c>
      <c r="BG43" s="10">
        <v>-192</v>
      </c>
      <c r="BH43" s="10">
        <v>-3</v>
      </c>
      <c r="BI43" s="10">
        <f t="shared" si="6"/>
        <v>5942</v>
      </c>
      <c r="BJ43" s="1">
        <v>0</v>
      </c>
      <c r="BK43" s="1">
        <v>54</v>
      </c>
      <c r="BL43" s="1">
        <v>25</v>
      </c>
      <c r="BM43" s="1">
        <v>113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</row>
    <row r="44" spans="1:77">
      <c r="A44" s="1">
        <v>4</v>
      </c>
      <c r="B44" s="1" t="s">
        <v>444</v>
      </c>
      <c r="C44" s="7" t="s">
        <v>374</v>
      </c>
      <c r="D44" s="1" t="s">
        <v>393</v>
      </c>
      <c r="E44" s="1" t="s">
        <v>674</v>
      </c>
      <c r="F44" s="7" t="s">
        <v>695</v>
      </c>
      <c r="G44" s="7" t="s">
        <v>680</v>
      </c>
      <c r="H44" s="10">
        <v>2016024</v>
      </c>
      <c r="I44" s="10">
        <v>2017808</v>
      </c>
      <c r="J44" s="10">
        <v>90061</v>
      </c>
      <c r="K44" s="48">
        <v>0</v>
      </c>
      <c r="L44" s="48">
        <v>0</v>
      </c>
      <c r="M44" s="48">
        <v>0</v>
      </c>
      <c r="N44" s="48">
        <v>871951</v>
      </c>
      <c r="O44" s="48">
        <v>0</v>
      </c>
      <c r="P44" s="48">
        <v>0</v>
      </c>
      <c r="Q44" s="48">
        <v>121389</v>
      </c>
      <c r="R44" s="10">
        <v>952607</v>
      </c>
      <c r="S44" s="10">
        <v>323606</v>
      </c>
      <c r="T44" s="10">
        <v>0</v>
      </c>
      <c r="U44" s="10">
        <v>0</v>
      </c>
      <c r="V44" s="10">
        <v>2379187</v>
      </c>
      <c r="W44" s="12">
        <v>0.21879999999999999</v>
      </c>
      <c r="X44" s="10">
        <v>0</v>
      </c>
      <c r="Y44" s="22">
        <f>109443/2379187</f>
        <v>4.6000167284034423E-2</v>
      </c>
      <c r="Z44" s="10">
        <v>109449</v>
      </c>
      <c r="AA44" s="10">
        <v>0</v>
      </c>
      <c r="AB44" s="10">
        <f>1581+855+136</f>
        <v>2572</v>
      </c>
      <c r="AC44" s="10">
        <v>28993</v>
      </c>
      <c r="AD44" s="10">
        <v>2483</v>
      </c>
      <c r="AE44" s="10">
        <v>3044</v>
      </c>
      <c r="AF44" s="10">
        <v>4284</v>
      </c>
      <c r="AG44" s="10">
        <v>150</v>
      </c>
      <c r="AH44" s="10">
        <v>8126</v>
      </c>
      <c r="AI44" s="10">
        <v>13944</v>
      </c>
      <c r="AJ44" s="10">
        <v>0</v>
      </c>
      <c r="AK44" s="10">
        <f>3638+2148+635</f>
        <v>6421</v>
      </c>
      <c r="AL44" s="10">
        <v>250</v>
      </c>
      <c r="AM44" s="10">
        <v>1621</v>
      </c>
      <c r="AN44" s="10">
        <v>24</v>
      </c>
      <c r="AO44" s="10">
        <v>16014</v>
      </c>
      <c r="AP44" s="10">
        <v>85983</v>
      </c>
      <c r="AQ44" s="10">
        <v>170744</v>
      </c>
      <c r="AR44" s="12">
        <f t="shared" si="7"/>
        <v>0.18624611841875718</v>
      </c>
      <c r="AS44" s="10">
        <v>0</v>
      </c>
      <c r="AT44" s="10">
        <v>0</v>
      </c>
      <c r="AU44" s="10">
        <v>32722</v>
      </c>
      <c r="AV44" s="10">
        <v>0</v>
      </c>
      <c r="AW44" s="10">
        <v>21986</v>
      </c>
      <c r="AX44" s="10">
        <v>0</v>
      </c>
      <c r="AY44" s="10">
        <v>0</v>
      </c>
      <c r="AZ44" s="10">
        <v>0</v>
      </c>
      <c r="BA44" s="10">
        <v>2180</v>
      </c>
      <c r="BB44" s="10">
        <v>0</v>
      </c>
      <c r="BC44" s="10">
        <v>0</v>
      </c>
      <c r="BD44" s="10">
        <v>0</v>
      </c>
      <c r="BE44" s="10">
        <v>-42</v>
      </c>
      <c r="BF44" s="10">
        <v>-123</v>
      </c>
      <c r="BG44" s="10">
        <v>-122</v>
      </c>
      <c r="BH44" s="10">
        <v>0</v>
      </c>
      <c r="BI44" s="10">
        <f t="shared" ref="BI44:BI75" si="8">SUM(BA44:BH44)</f>
        <v>1893</v>
      </c>
      <c r="BJ44" s="1">
        <v>0</v>
      </c>
      <c r="BK44" s="1">
        <v>64</v>
      </c>
      <c r="BL44" s="1">
        <v>22</v>
      </c>
      <c r="BM44" s="1">
        <v>24</v>
      </c>
      <c r="BN44" s="1">
        <v>12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</row>
    <row r="45" spans="1:77">
      <c r="A45" s="1">
        <v>4</v>
      </c>
      <c r="B45" s="1" t="s">
        <v>445</v>
      </c>
      <c r="C45" s="1" t="s">
        <v>289</v>
      </c>
      <c r="D45" s="1" t="s">
        <v>122</v>
      </c>
      <c r="E45" s="1" t="s">
        <v>714</v>
      </c>
      <c r="F45" s="7" t="s">
        <v>479</v>
      </c>
      <c r="G45" s="7" t="s">
        <v>694</v>
      </c>
      <c r="H45" s="10">
        <v>6525378</v>
      </c>
      <c r="I45" s="10">
        <v>6554753</v>
      </c>
      <c r="J45" s="10">
        <v>220040</v>
      </c>
      <c r="K45" s="48">
        <v>150201</v>
      </c>
      <c r="L45" s="48">
        <v>181465</v>
      </c>
      <c r="M45" s="48">
        <v>2794124</v>
      </c>
      <c r="N45" s="48">
        <v>0</v>
      </c>
      <c r="O45" s="48">
        <v>0</v>
      </c>
      <c r="P45" s="48">
        <v>1153206</v>
      </c>
      <c r="Q45" s="48">
        <v>0</v>
      </c>
      <c r="R45" s="10">
        <v>1300519</v>
      </c>
      <c r="S45" s="10">
        <v>243130</v>
      </c>
      <c r="T45" s="10">
        <v>150</v>
      </c>
      <c r="U45" s="10">
        <v>0</v>
      </c>
      <c r="V45" s="10">
        <v>6251336</v>
      </c>
      <c r="W45" s="12">
        <v>0.09</v>
      </c>
      <c r="X45" s="10">
        <v>150201</v>
      </c>
      <c r="Y45" s="22">
        <f>429393/5942232</f>
        <v>7.2261231133351908E-2</v>
      </c>
      <c r="Z45" s="10">
        <v>428130</v>
      </c>
      <c r="AA45" s="10">
        <v>0</v>
      </c>
      <c r="AB45" s="10">
        <f>26952+1422+459</f>
        <v>28833</v>
      </c>
      <c r="AC45" s="10">
        <v>126988</v>
      </c>
      <c r="AD45" s="10">
        <v>13714</v>
      </c>
      <c r="AE45" s="10">
        <v>24232</v>
      </c>
      <c r="AF45" s="10">
        <v>24520</v>
      </c>
      <c r="AG45" s="10">
        <v>5245</v>
      </c>
      <c r="AH45" s="10">
        <v>12767</v>
      </c>
      <c r="AI45" s="10">
        <v>0</v>
      </c>
      <c r="AJ45" s="10">
        <v>4156</v>
      </c>
      <c r="AK45" s="10">
        <f>6635+15363+16954</f>
        <v>38952</v>
      </c>
      <c r="AL45" s="10">
        <v>5787</v>
      </c>
      <c r="AM45" s="10">
        <v>11803</v>
      </c>
      <c r="AN45" s="10">
        <v>7820</v>
      </c>
      <c r="AO45" s="10">
        <v>0</v>
      </c>
      <c r="AP45" s="10">
        <v>310261</v>
      </c>
      <c r="AQ45" s="10">
        <v>335549</v>
      </c>
      <c r="AR45" s="12">
        <f t="shared" si="7"/>
        <v>0</v>
      </c>
      <c r="AS45" s="10">
        <v>0</v>
      </c>
      <c r="AT45" s="10">
        <v>0</v>
      </c>
      <c r="AU45" s="10">
        <v>139662</v>
      </c>
      <c r="AV45" s="10">
        <v>0</v>
      </c>
      <c r="AW45" s="10">
        <v>45365</v>
      </c>
      <c r="AX45" s="10">
        <v>0</v>
      </c>
      <c r="AY45" s="10">
        <v>0</v>
      </c>
      <c r="AZ45" s="10">
        <v>0</v>
      </c>
      <c r="BA45" s="10">
        <v>1414</v>
      </c>
      <c r="BB45" s="3">
        <v>445</v>
      </c>
      <c r="BC45" s="3">
        <v>32</v>
      </c>
      <c r="BD45" s="3">
        <f>7-29</f>
        <v>-22</v>
      </c>
      <c r="BE45" s="10">
        <v>-124</v>
      </c>
      <c r="BF45" s="10">
        <v>-129</v>
      </c>
      <c r="BG45" s="10">
        <v>-173</v>
      </c>
      <c r="BH45" s="10">
        <v>-20</v>
      </c>
      <c r="BI45" s="10">
        <f t="shared" si="8"/>
        <v>1423</v>
      </c>
      <c r="BJ45" s="1">
        <v>35</v>
      </c>
      <c r="BK45" s="1">
        <v>23</v>
      </c>
      <c r="BL45" s="1">
        <v>29</v>
      </c>
      <c r="BM45" s="1">
        <v>117</v>
      </c>
      <c r="BN45" s="1">
        <v>4</v>
      </c>
      <c r="BO45" s="1">
        <v>0</v>
      </c>
      <c r="BP45" s="1" t="s">
        <v>455</v>
      </c>
      <c r="BQ45" s="1" t="s">
        <v>455</v>
      </c>
      <c r="BR45" s="1" t="s">
        <v>455</v>
      </c>
      <c r="BS45" s="1" t="s">
        <v>455</v>
      </c>
      <c r="BT45" s="1" t="s">
        <v>455</v>
      </c>
      <c r="BU45" s="1" t="s">
        <v>455</v>
      </c>
      <c r="BV45" s="1" t="s">
        <v>455</v>
      </c>
      <c r="BW45" s="1" t="s">
        <v>455</v>
      </c>
      <c r="BX45" s="1" t="s">
        <v>455</v>
      </c>
      <c r="BY45" s="1" t="s">
        <v>455</v>
      </c>
    </row>
    <row r="46" spans="1:77">
      <c r="A46" s="1">
        <v>4</v>
      </c>
      <c r="B46" s="1" t="s">
        <v>462</v>
      </c>
      <c r="C46" s="1" t="s">
        <v>258</v>
      </c>
      <c r="D46" s="1" t="s">
        <v>528</v>
      </c>
      <c r="E46" s="1" t="s">
        <v>674</v>
      </c>
      <c r="F46" s="7" t="s">
        <v>205</v>
      </c>
      <c r="G46" s="7" t="s">
        <v>680</v>
      </c>
      <c r="H46" s="3">
        <v>15908601</v>
      </c>
      <c r="I46" s="10">
        <v>15956792</v>
      </c>
      <c r="J46" s="10">
        <v>391757</v>
      </c>
      <c r="K46" s="48">
        <v>0</v>
      </c>
      <c r="L46" s="48">
        <v>-103574</v>
      </c>
      <c r="M46" s="48">
        <v>8285649</v>
      </c>
      <c r="N46" s="48">
        <v>0</v>
      </c>
      <c r="O46" s="48">
        <v>0</v>
      </c>
      <c r="P46" s="48">
        <v>1153893</v>
      </c>
      <c r="Q46" s="48">
        <v>0</v>
      </c>
      <c r="R46" s="10">
        <v>3678630</v>
      </c>
      <c r="S46" s="10">
        <v>1605002</v>
      </c>
      <c r="T46" s="10">
        <v>0</v>
      </c>
      <c r="U46" s="10">
        <v>0</v>
      </c>
      <c r="V46" s="10">
        <v>15554371</v>
      </c>
      <c r="W46" s="12">
        <v>0.03</v>
      </c>
      <c r="X46" s="10">
        <v>0</v>
      </c>
      <c r="Y46" s="22">
        <f>840334/15464510</f>
        <v>5.4339516738648688E-2</v>
      </c>
      <c r="Z46" s="10">
        <v>844910</v>
      </c>
      <c r="AA46" s="10">
        <v>0</v>
      </c>
      <c r="AB46" s="10">
        <f>43972+3372</f>
        <v>47344</v>
      </c>
      <c r="AC46" s="10">
        <v>338403</v>
      </c>
      <c r="AD46" s="10">
        <v>26471</v>
      </c>
      <c r="AE46" s="10">
        <v>39233</v>
      </c>
      <c r="AF46" s="10">
        <v>63327</v>
      </c>
      <c r="AG46" s="10">
        <v>10449</v>
      </c>
      <c r="AH46" s="10">
        <v>17469</v>
      </c>
      <c r="AI46" s="10">
        <v>43550</v>
      </c>
      <c r="AJ46" s="10">
        <v>0</v>
      </c>
      <c r="AK46" s="10">
        <f>12607+34932+36400</f>
        <v>83939</v>
      </c>
      <c r="AL46" s="10">
        <v>6471</v>
      </c>
      <c r="AM46" s="10">
        <v>522</v>
      </c>
      <c r="AN46" s="10">
        <v>104514</v>
      </c>
      <c r="AO46" s="10">
        <v>0</v>
      </c>
      <c r="AP46" s="10">
        <v>768532</v>
      </c>
      <c r="AQ46" s="10">
        <v>794769</v>
      </c>
      <c r="AR46" s="12">
        <f t="shared" si="7"/>
        <v>0</v>
      </c>
      <c r="AS46" s="10">
        <v>1094</v>
      </c>
      <c r="AT46" s="10">
        <v>0</v>
      </c>
      <c r="AU46" s="10">
        <v>139662</v>
      </c>
      <c r="AV46" s="10">
        <v>0</v>
      </c>
      <c r="AW46" s="10">
        <v>89619</v>
      </c>
      <c r="AX46" s="10">
        <v>0</v>
      </c>
      <c r="AY46" s="10">
        <v>0</v>
      </c>
      <c r="AZ46" s="10">
        <v>0</v>
      </c>
      <c r="BA46" s="10">
        <v>3401</v>
      </c>
      <c r="BB46" s="10">
        <v>1820</v>
      </c>
      <c r="BC46" s="10">
        <v>0</v>
      </c>
      <c r="BD46" s="10">
        <v>0</v>
      </c>
      <c r="BE46" s="10">
        <v>-246</v>
      </c>
      <c r="BF46" s="10">
        <v>-793</v>
      </c>
      <c r="BG46" s="10">
        <v>-263</v>
      </c>
      <c r="BH46" s="10">
        <v>-2</v>
      </c>
      <c r="BI46" s="10">
        <f t="shared" si="8"/>
        <v>3917</v>
      </c>
      <c r="BJ46" s="1">
        <v>0</v>
      </c>
      <c r="BK46" s="1">
        <v>60</v>
      </c>
      <c r="BL46" s="1">
        <v>33</v>
      </c>
      <c r="BM46" s="1">
        <v>199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3</v>
      </c>
      <c r="BT46" s="1">
        <v>0</v>
      </c>
      <c r="BU46" s="1">
        <v>0</v>
      </c>
      <c r="BV46" s="1">
        <v>0</v>
      </c>
      <c r="BW46" s="1">
        <v>3</v>
      </c>
      <c r="BX46" s="1">
        <v>4</v>
      </c>
      <c r="BY46" s="1">
        <v>0</v>
      </c>
    </row>
    <row r="47" spans="1:77">
      <c r="A47" s="1">
        <v>4</v>
      </c>
      <c r="B47" s="1" t="s">
        <v>471</v>
      </c>
      <c r="C47" s="7" t="s">
        <v>162</v>
      </c>
      <c r="D47" s="1" t="s">
        <v>686</v>
      </c>
      <c r="E47" s="1" t="s">
        <v>171</v>
      </c>
      <c r="F47" s="7"/>
      <c r="G47" s="7" t="s">
        <v>197</v>
      </c>
      <c r="H47" s="10">
        <v>6058059</v>
      </c>
      <c r="I47" s="10">
        <v>6065964</v>
      </c>
      <c r="J47" s="10">
        <v>344030</v>
      </c>
      <c r="K47" s="48">
        <v>77887</v>
      </c>
      <c r="L47" s="48">
        <v>0</v>
      </c>
      <c r="M47" s="48">
        <v>314007</v>
      </c>
      <c r="N47" s="48">
        <v>2408717</v>
      </c>
      <c r="O47" s="48">
        <v>0</v>
      </c>
      <c r="P47" s="48">
        <v>154892</v>
      </c>
      <c r="Q47" s="48">
        <v>522245</v>
      </c>
      <c r="R47" s="10">
        <v>1549702</v>
      </c>
      <c r="S47" s="10">
        <v>126425</v>
      </c>
      <c r="T47" s="10">
        <v>0</v>
      </c>
      <c r="U47" s="10">
        <v>0</v>
      </c>
      <c r="V47" s="10">
        <v>5627912</v>
      </c>
      <c r="W47" s="12">
        <v>0.12330000000000001</v>
      </c>
      <c r="X47" s="10">
        <v>0</v>
      </c>
      <c r="Y47" s="22">
        <f>471838/5627913</f>
        <v>8.3838893742671575E-2</v>
      </c>
      <c r="Z47" s="10">
        <v>471246</v>
      </c>
      <c r="AA47" s="10">
        <v>0</v>
      </c>
      <c r="AB47" s="10">
        <f>7905+301</f>
        <v>8206</v>
      </c>
      <c r="AC47" s="10">
        <v>121605</v>
      </c>
      <c r="AD47" s="10">
        <v>10841</v>
      </c>
      <c r="AE47" s="10">
        <v>12473</v>
      </c>
      <c r="AF47" s="10">
        <f>40480+2669</f>
        <v>43149</v>
      </c>
      <c r="AG47" s="10">
        <v>16948</v>
      </c>
      <c r="AH47" s="10">
        <v>53867</v>
      </c>
      <c r="AI47" s="10">
        <v>0</v>
      </c>
      <c r="AJ47" s="10">
        <v>0</v>
      </c>
      <c r="AK47" s="10">
        <f>6971+9373+10241</f>
        <v>26585</v>
      </c>
      <c r="AL47" s="10">
        <v>2222</v>
      </c>
      <c r="AM47" s="10">
        <v>1248</v>
      </c>
      <c r="AN47" s="10">
        <v>16249</v>
      </c>
      <c r="AO47" s="10">
        <v>0</v>
      </c>
      <c r="AP47" s="10">
        <v>336852</v>
      </c>
      <c r="AQ47" s="10">
        <v>383397</v>
      </c>
      <c r="AR47" s="12">
        <f t="shared" si="7"/>
        <v>0</v>
      </c>
      <c r="AS47" s="10">
        <v>0</v>
      </c>
      <c r="AT47" s="10">
        <v>0</v>
      </c>
      <c r="AU47" s="10">
        <v>139662</v>
      </c>
      <c r="AV47" s="10">
        <v>0</v>
      </c>
      <c r="AW47" s="10">
        <v>44983</v>
      </c>
      <c r="AX47" s="10">
        <v>0</v>
      </c>
      <c r="AY47" s="10">
        <v>0</v>
      </c>
      <c r="AZ47" s="10">
        <v>0</v>
      </c>
      <c r="BA47" s="10">
        <v>2339</v>
      </c>
      <c r="BB47" s="10">
        <v>1671</v>
      </c>
      <c r="BC47" s="10">
        <v>282</v>
      </c>
      <c r="BD47" s="10">
        <v>1</v>
      </c>
      <c r="BE47" s="10">
        <v>-194</v>
      </c>
      <c r="BF47" s="10">
        <v>-918</v>
      </c>
      <c r="BG47" s="10">
        <v>0</v>
      </c>
      <c r="BH47" s="10">
        <v>0</v>
      </c>
      <c r="BI47" s="10">
        <f t="shared" si="8"/>
        <v>3181</v>
      </c>
      <c r="BJ47" s="1">
        <v>0</v>
      </c>
      <c r="BK47" s="1">
        <v>97</v>
      </c>
      <c r="BL47" s="1">
        <v>11</v>
      </c>
      <c r="BM47" s="1">
        <v>54</v>
      </c>
      <c r="BN47" s="1">
        <v>3</v>
      </c>
      <c r="BO47" s="1">
        <v>32</v>
      </c>
      <c r="BP47" s="1" t="s">
        <v>455</v>
      </c>
      <c r="BQ47" s="1" t="s">
        <v>455</v>
      </c>
      <c r="BR47" s="1" t="s">
        <v>455</v>
      </c>
      <c r="BS47" s="1" t="s">
        <v>455</v>
      </c>
      <c r="BT47" s="1" t="s">
        <v>455</v>
      </c>
      <c r="BU47" s="1" t="s">
        <v>455</v>
      </c>
      <c r="BV47" s="1" t="s">
        <v>455</v>
      </c>
      <c r="BW47" s="1" t="s">
        <v>455</v>
      </c>
      <c r="BX47" s="1" t="s">
        <v>455</v>
      </c>
      <c r="BY47" s="1" t="s">
        <v>455</v>
      </c>
    </row>
    <row r="48" spans="1:77">
      <c r="A48" s="1">
        <v>4</v>
      </c>
      <c r="B48" s="1" t="s">
        <v>486</v>
      </c>
      <c r="C48" s="7" t="s">
        <v>260</v>
      </c>
      <c r="D48" s="1" t="s">
        <v>31</v>
      </c>
      <c r="E48" s="1" t="s">
        <v>674</v>
      </c>
      <c r="F48" s="7" t="s">
        <v>205</v>
      </c>
      <c r="G48" s="7" t="s">
        <v>680</v>
      </c>
      <c r="H48" s="10">
        <v>12715500</v>
      </c>
      <c r="I48" s="10">
        <v>12733737</v>
      </c>
      <c r="J48" s="10">
        <v>881326</v>
      </c>
      <c r="K48" s="48">
        <v>0</v>
      </c>
      <c r="L48" s="48">
        <v>0</v>
      </c>
      <c r="M48" s="48">
        <v>0</v>
      </c>
      <c r="N48" s="48">
        <v>4955042</v>
      </c>
      <c r="O48" s="48">
        <v>0</v>
      </c>
      <c r="P48" s="48">
        <v>0</v>
      </c>
      <c r="Q48" s="48">
        <v>1192929</v>
      </c>
      <c r="R48" s="10">
        <v>4612038</v>
      </c>
      <c r="S48" s="10">
        <v>320902</v>
      </c>
      <c r="T48" s="10">
        <v>0</v>
      </c>
      <c r="U48" s="10">
        <v>0</v>
      </c>
      <c r="V48" s="10">
        <v>11662457</v>
      </c>
      <c r="W48" s="12">
        <v>0.11</v>
      </c>
      <c r="X48" s="10">
        <v>0</v>
      </c>
      <c r="Y48" s="22">
        <f>583123/11662457</f>
        <v>5.0000012861783759E-2</v>
      </c>
      <c r="Z48" s="10">
        <v>581546</v>
      </c>
      <c r="AA48" s="10">
        <v>0</v>
      </c>
      <c r="AB48" s="10">
        <f>18237+330</f>
        <v>18567</v>
      </c>
      <c r="AC48" s="10">
        <v>194689</v>
      </c>
      <c r="AD48" s="10">
        <v>14893</v>
      </c>
      <c r="AE48" s="10">
        <v>48697</v>
      </c>
      <c r="AF48" s="10">
        <v>69996</v>
      </c>
      <c r="AG48" s="10">
        <v>14888</v>
      </c>
      <c r="AH48" s="10">
        <v>12093</v>
      </c>
      <c r="AI48" s="10">
        <v>4860</v>
      </c>
      <c r="AJ48" s="10">
        <v>0</v>
      </c>
      <c r="AK48" s="10">
        <f>10439+22498+16867</f>
        <v>49804</v>
      </c>
      <c r="AL48" s="10">
        <v>6215</v>
      </c>
      <c r="AM48" s="10">
        <v>3511</v>
      </c>
      <c r="AN48" s="10">
        <v>14001</v>
      </c>
      <c r="AO48" s="10">
        <v>58408</v>
      </c>
      <c r="AP48" s="10">
        <v>472872</v>
      </c>
      <c r="AQ48" s="10">
        <v>484077</v>
      </c>
      <c r="AR48" s="12">
        <f t="shared" si="7"/>
        <v>0.12351756923649529</v>
      </c>
      <c r="AS48" s="10">
        <v>0</v>
      </c>
      <c r="AT48" s="10">
        <v>0</v>
      </c>
      <c r="AU48" s="10">
        <v>139662</v>
      </c>
      <c r="AV48" s="10">
        <v>0</v>
      </c>
      <c r="AW48" s="10">
        <v>47976</v>
      </c>
      <c r="AX48" s="10">
        <v>0</v>
      </c>
      <c r="AY48" s="10">
        <v>0</v>
      </c>
      <c r="AZ48" s="10">
        <v>0</v>
      </c>
      <c r="BA48" s="10">
        <v>1715</v>
      </c>
      <c r="BB48" s="10">
        <v>923</v>
      </c>
      <c r="BC48" s="10">
        <v>41</v>
      </c>
      <c r="BD48" s="10">
        <v>0</v>
      </c>
      <c r="BE48" s="10">
        <v>-174</v>
      </c>
      <c r="BF48" s="10">
        <v>-406</v>
      </c>
      <c r="BG48" s="10">
        <v>-245</v>
      </c>
      <c r="BH48" s="10">
        <v>-49</v>
      </c>
      <c r="BI48" s="10">
        <f t="shared" si="8"/>
        <v>1805</v>
      </c>
      <c r="BJ48" s="1">
        <v>5</v>
      </c>
      <c r="BK48" s="1">
        <v>157</v>
      </c>
      <c r="BL48" s="1">
        <v>24</v>
      </c>
      <c r="BM48" s="1">
        <v>29</v>
      </c>
      <c r="BN48" s="1">
        <v>1</v>
      </c>
      <c r="BO48" s="1">
        <v>34</v>
      </c>
      <c r="BP48" s="1" t="s">
        <v>455</v>
      </c>
      <c r="BQ48" s="1" t="s">
        <v>455</v>
      </c>
      <c r="BR48" s="1" t="s">
        <v>455</v>
      </c>
      <c r="BS48" s="1" t="s">
        <v>455</v>
      </c>
      <c r="BT48" s="1" t="s">
        <v>455</v>
      </c>
      <c r="BU48" s="1" t="s">
        <v>455</v>
      </c>
      <c r="BV48" s="1" t="s">
        <v>455</v>
      </c>
      <c r="BW48" s="1" t="s">
        <v>455</v>
      </c>
      <c r="BX48" s="1" t="s">
        <v>455</v>
      </c>
      <c r="BY48" s="1" t="s">
        <v>455</v>
      </c>
    </row>
    <row r="49" spans="1:77">
      <c r="A49" s="1">
        <v>4</v>
      </c>
      <c r="B49" s="1" t="s">
        <v>506</v>
      </c>
      <c r="C49" s="7" t="s">
        <v>289</v>
      </c>
      <c r="D49" s="1" t="s">
        <v>123</v>
      </c>
      <c r="E49" s="1" t="s">
        <v>674</v>
      </c>
      <c r="F49" s="7" t="s">
        <v>695</v>
      </c>
      <c r="G49" s="7" t="s">
        <v>680</v>
      </c>
      <c r="H49" s="10">
        <v>8181780</v>
      </c>
      <c r="I49" s="10">
        <v>8535362</v>
      </c>
      <c r="J49" s="10">
        <v>332899</v>
      </c>
      <c r="K49" s="48">
        <v>0</v>
      </c>
      <c r="L49" s="48">
        <v>127315</v>
      </c>
      <c r="M49" s="48">
        <v>0</v>
      </c>
      <c r="N49" s="48">
        <v>2007994</v>
      </c>
      <c r="O49" s="48">
        <v>0</v>
      </c>
      <c r="P49" s="48">
        <v>0</v>
      </c>
      <c r="Q49" s="48">
        <v>415009</v>
      </c>
      <c r="R49" s="10">
        <v>3237215</v>
      </c>
      <c r="S49" s="10">
        <v>731644</v>
      </c>
      <c r="T49" s="10">
        <v>0</v>
      </c>
      <c r="U49" s="10">
        <v>0</v>
      </c>
      <c r="V49" s="10">
        <v>7039195</v>
      </c>
      <c r="W49" s="12">
        <v>0.24</v>
      </c>
      <c r="X49" s="10">
        <v>0</v>
      </c>
      <c r="Y49" s="22">
        <f>515705/7039195</f>
        <v>7.326192838811825E-2</v>
      </c>
      <c r="Z49" s="10">
        <v>514622</v>
      </c>
      <c r="AA49" s="10">
        <v>0</v>
      </c>
      <c r="AB49" s="10">
        <f>13539+690+326</f>
        <v>14555</v>
      </c>
      <c r="AC49" s="10">
        <v>173412</v>
      </c>
      <c r="AD49" s="10">
        <v>12980</v>
      </c>
      <c r="AE49" s="10">
        <v>23077</v>
      </c>
      <c r="AF49" s="10">
        <f>49896+352</f>
        <v>50248</v>
      </c>
      <c r="AG49" s="10">
        <v>0</v>
      </c>
      <c r="AH49" s="10">
        <v>19801</v>
      </c>
      <c r="AI49" s="10">
        <v>225</v>
      </c>
      <c r="AJ49" s="10">
        <v>0</v>
      </c>
      <c r="AK49" s="10">
        <f>7032+6592+10966</f>
        <v>24590</v>
      </c>
      <c r="AL49" s="10">
        <v>5482</v>
      </c>
      <c r="AM49" s="10">
        <v>0</v>
      </c>
      <c r="AN49" s="10">
        <v>36273</v>
      </c>
      <c r="AO49" s="10">
        <v>0</v>
      </c>
      <c r="AP49" s="10">
        <v>439082</v>
      </c>
      <c r="AQ49" s="10">
        <v>440098</v>
      </c>
      <c r="AR49" s="12">
        <f t="shared" si="7"/>
        <v>0</v>
      </c>
      <c r="AS49" s="10">
        <v>0</v>
      </c>
      <c r="AT49" s="10">
        <v>0</v>
      </c>
      <c r="AU49" s="10">
        <v>139622</v>
      </c>
      <c r="AV49" s="10">
        <v>0</v>
      </c>
      <c r="AW49" s="10">
        <v>1055</v>
      </c>
      <c r="AX49" s="10">
        <v>0</v>
      </c>
      <c r="AY49" s="10">
        <v>0</v>
      </c>
      <c r="AZ49" s="10">
        <v>0</v>
      </c>
      <c r="BA49" s="10">
        <v>674</v>
      </c>
      <c r="BB49" s="10">
        <v>795</v>
      </c>
      <c r="BC49" s="10">
        <v>0</v>
      </c>
      <c r="BD49" s="10">
        <f>1596+7</f>
        <v>1603</v>
      </c>
      <c r="BE49" s="10">
        <v>-57</v>
      </c>
      <c r="BF49" s="10">
        <v>-188</v>
      </c>
      <c r="BG49" s="10">
        <v>-106</v>
      </c>
      <c r="BH49" s="10">
        <v>-1</v>
      </c>
      <c r="BI49" s="10">
        <f t="shared" si="8"/>
        <v>2720</v>
      </c>
      <c r="BJ49" s="1">
        <v>6</v>
      </c>
      <c r="BK49" s="1">
        <v>52</v>
      </c>
      <c r="BL49" s="1">
        <v>25</v>
      </c>
      <c r="BM49" s="1">
        <v>23</v>
      </c>
      <c r="BN49" s="1">
        <v>0</v>
      </c>
      <c r="BO49" s="1">
        <v>6</v>
      </c>
      <c r="BP49" s="1" t="s">
        <v>453</v>
      </c>
      <c r="BQ49" s="1" t="s">
        <v>453</v>
      </c>
      <c r="BR49" s="1" t="s">
        <v>453</v>
      </c>
      <c r="BS49" s="1" t="s">
        <v>453</v>
      </c>
      <c r="BT49" s="1" t="s">
        <v>453</v>
      </c>
      <c r="BU49" s="1" t="s">
        <v>453</v>
      </c>
      <c r="BV49" s="1" t="s">
        <v>453</v>
      </c>
      <c r="BW49" s="1" t="s">
        <v>453</v>
      </c>
      <c r="BX49" s="1" t="s">
        <v>453</v>
      </c>
      <c r="BY49" s="1" t="s">
        <v>453</v>
      </c>
    </row>
    <row r="50" spans="1:77">
      <c r="A50" s="1">
        <v>4</v>
      </c>
      <c r="B50" s="1" t="s">
        <v>592</v>
      </c>
      <c r="C50" s="7" t="s">
        <v>245</v>
      </c>
      <c r="D50" s="1" t="s">
        <v>528</v>
      </c>
      <c r="E50" s="1" t="s">
        <v>674</v>
      </c>
      <c r="F50" s="7" t="s">
        <v>205</v>
      </c>
      <c r="G50" s="7" t="s">
        <v>680</v>
      </c>
      <c r="H50" s="10">
        <v>26160817</v>
      </c>
      <c r="I50" s="10">
        <v>26225655</v>
      </c>
      <c r="J50" s="10">
        <v>1230771</v>
      </c>
      <c r="K50" s="48">
        <v>0</v>
      </c>
      <c r="L50" s="48">
        <v>0</v>
      </c>
      <c r="M50" s="48">
        <v>0</v>
      </c>
      <c r="N50" s="48">
        <v>13380921</v>
      </c>
      <c r="O50" s="48">
        <v>0</v>
      </c>
      <c r="P50" s="48">
        <v>0</v>
      </c>
      <c r="Q50" s="48">
        <v>1884555</v>
      </c>
      <c r="R50" s="10">
        <v>6741028</v>
      </c>
      <c r="S50" s="10">
        <v>1659756</v>
      </c>
      <c r="T50" s="10">
        <v>0</v>
      </c>
      <c r="U50" s="10">
        <v>0</v>
      </c>
      <c r="V50" s="10">
        <v>24780740</v>
      </c>
      <c r="W50" s="12">
        <v>2.5000000000000001E-2</v>
      </c>
      <c r="X50" s="10">
        <v>0</v>
      </c>
      <c r="Y50" s="22">
        <f>1114513/24695098</f>
        <v>4.5130940561564081E-2</v>
      </c>
      <c r="Z50" s="10">
        <v>1114480</v>
      </c>
      <c r="AA50" s="10">
        <v>0</v>
      </c>
      <c r="AB50" s="10">
        <f>60321+4736+516</f>
        <v>65573</v>
      </c>
      <c r="AC50" s="10">
        <v>542914</v>
      </c>
      <c r="AD50" s="10">
        <v>40810</v>
      </c>
      <c r="AE50" s="10">
        <v>85671</v>
      </c>
      <c r="AF50" s="10">
        <v>61213</v>
      </c>
      <c r="AG50" s="10">
        <v>1733</v>
      </c>
      <c r="AH50" s="10">
        <v>27283</v>
      </c>
      <c r="AI50" s="10">
        <v>0</v>
      </c>
      <c r="AJ50" s="10">
        <v>27371</v>
      </c>
      <c r="AK50" s="10">
        <f>18112+28810+41467</f>
        <v>88389</v>
      </c>
      <c r="AL50" s="10">
        <v>10650</v>
      </c>
      <c r="AM50" s="10">
        <v>37967</v>
      </c>
      <c r="AN50" s="10">
        <v>24036</v>
      </c>
      <c r="AO50" s="10">
        <v>0</v>
      </c>
      <c r="AP50" s="10">
        <v>1002379</v>
      </c>
      <c r="AQ50" s="10">
        <v>1064793</v>
      </c>
      <c r="AR50" s="12">
        <f t="shared" si="7"/>
        <v>0</v>
      </c>
      <c r="AS50" s="10">
        <v>0</v>
      </c>
      <c r="AT50" s="10">
        <v>0</v>
      </c>
      <c r="AU50" s="10">
        <v>139662</v>
      </c>
      <c r="AV50" s="10">
        <v>0</v>
      </c>
      <c r="AW50" s="10">
        <v>126886</v>
      </c>
      <c r="AX50" s="10">
        <v>0</v>
      </c>
      <c r="AY50" s="10">
        <v>0</v>
      </c>
      <c r="AZ50" s="10">
        <v>0</v>
      </c>
      <c r="BA50" s="10">
        <v>6210</v>
      </c>
      <c r="BB50" s="10">
        <v>1888</v>
      </c>
      <c r="BC50" s="10">
        <v>0</v>
      </c>
      <c r="BD50" s="10">
        <v>0</v>
      </c>
      <c r="BE50" s="10">
        <v>-395</v>
      </c>
      <c r="BF50" s="10">
        <v>-851</v>
      </c>
      <c r="BG50" s="10">
        <v>-1228</v>
      </c>
      <c r="BH50" s="10">
        <v>-9</v>
      </c>
      <c r="BI50" s="10">
        <f t="shared" si="8"/>
        <v>5615</v>
      </c>
      <c r="BJ50" s="1">
        <v>5</v>
      </c>
      <c r="BK50" s="1">
        <v>180</v>
      </c>
      <c r="BL50" s="1">
        <v>107</v>
      </c>
      <c r="BM50" s="1">
        <v>633</v>
      </c>
      <c r="BN50" s="1">
        <v>1</v>
      </c>
      <c r="BO50" s="1">
        <v>29</v>
      </c>
      <c r="BP50" s="1">
        <v>6</v>
      </c>
      <c r="BQ50" s="1">
        <v>1</v>
      </c>
      <c r="BR50" s="1">
        <v>56</v>
      </c>
      <c r="BS50" s="1">
        <v>14</v>
      </c>
      <c r="BT50" s="1">
        <v>264</v>
      </c>
      <c r="BU50" s="1">
        <v>6</v>
      </c>
      <c r="BV50" s="1">
        <v>7</v>
      </c>
      <c r="BW50" s="1">
        <v>54</v>
      </c>
      <c r="BX50" s="1">
        <v>377</v>
      </c>
      <c r="BY50" s="1">
        <v>34</v>
      </c>
    </row>
    <row r="51" spans="1:77">
      <c r="A51" s="1">
        <v>4</v>
      </c>
      <c r="B51" s="1" t="s">
        <v>626</v>
      </c>
      <c r="C51" s="7" t="s">
        <v>703</v>
      </c>
      <c r="D51" s="1" t="s">
        <v>143</v>
      </c>
      <c r="E51" s="1" t="s">
        <v>596</v>
      </c>
      <c r="F51" s="7"/>
      <c r="G51" s="7" t="s">
        <v>615</v>
      </c>
      <c r="H51" s="10">
        <v>28366550</v>
      </c>
      <c r="I51" s="10">
        <v>28481746</v>
      </c>
      <c r="J51" s="10">
        <v>880356</v>
      </c>
      <c r="K51" s="48">
        <v>0</v>
      </c>
      <c r="L51" s="48">
        <v>3436134</v>
      </c>
      <c r="M51" s="48">
        <v>13056111</v>
      </c>
      <c r="N51" s="48">
        <v>0</v>
      </c>
      <c r="O51" s="48">
        <v>0</v>
      </c>
      <c r="P51" s="48">
        <v>0</v>
      </c>
      <c r="Q51" s="48">
        <v>1100871</v>
      </c>
      <c r="R51" s="10">
        <v>7731086</v>
      </c>
      <c r="S51" s="10">
        <v>1127546</v>
      </c>
      <c r="T51" s="10">
        <v>0</v>
      </c>
      <c r="U51" s="10">
        <v>0</v>
      </c>
      <c r="V51" s="10">
        <v>27667268</v>
      </c>
      <c r="W51" s="12">
        <v>0.11</v>
      </c>
      <c r="X51" s="10">
        <v>0</v>
      </c>
      <c r="Y51" s="22">
        <f>1211543/27663378</f>
        <v>4.3795916753189001E-2</v>
      </c>
      <c r="Z51" s="10">
        <v>1211630</v>
      </c>
      <c r="AA51" s="10">
        <v>0</v>
      </c>
      <c r="AB51" s="10">
        <f>115196+674</f>
        <v>115870</v>
      </c>
      <c r="AC51" s="10">
        <v>671079</v>
      </c>
      <c r="AD51" s="10">
        <v>56008</v>
      </c>
      <c r="AE51" s="10">
        <v>81278</v>
      </c>
      <c r="AF51" s="10">
        <f>48060+7424</f>
        <v>55484</v>
      </c>
      <c r="AG51" s="10">
        <v>0</v>
      </c>
      <c r="AH51" s="10">
        <v>18012</v>
      </c>
      <c r="AI51" s="10">
        <v>1012</v>
      </c>
      <c r="AJ51" s="10">
        <v>33197</v>
      </c>
      <c r="AK51" s="10">
        <f>15126+38527+34811</f>
        <v>88464</v>
      </c>
      <c r="AL51" s="10">
        <v>9093</v>
      </c>
      <c r="AM51" s="10">
        <v>0</v>
      </c>
      <c r="AN51" s="10">
        <v>34436</v>
      </c>
      <c r="AO51" s="10">
        <v>0</v>
      </c>
      <c r="AP51" s="10">
        <v>1123408</v>
      </c>
      <c r="AQ51" s="10">
        <v>1180527</v>
      </c>
      <c r="AR51" s="12">
        <f t="shared" si="7"/>
        <v>0</v>
      </c>
      <c r="AS51" s="10">
        <v>232.5</v>
      </c>
      <c r="AT51" s="10">
        <v>0</v>
      </c>
      <c r="AU51" s="10">
        <v>139662</v>
      </c>
      <c r="AV51" s="10">
        <v>0</v>
      </c>
      <c r="AW51" s="10">
        <v>126703</v>
      </c>
      <c r="AX51" s="10">
        <v>0</v>
      </c>
      <c r="AY51" s="10">
        <v>0</v>
      </c>
      <c r="AZ51" s="10">
        <v>0</v>
      </c>
      <c r="BA51" s="10">
        <v>6669</v>
      </c>
      <c r="BB51" s="10">
        <v>3409</v>
      </c>
      <c r="BC51" s="10">
        <v>39</v>
      </c>
      <c r="BD51" s="10">
        <f>33-1319</f>
        <v>-1286</v>
      </c>
      <c r="BE51" s="10">
        <v>-200</v>
      </c>
      <c r="BF51" s="10">
        <v>-1361</v>
      </c>
      <c r="BG51" s="10">
        <v>-1040</v>
      </c>
      <c r="BH51" s="10">
        <v>-7</v>
      </c>
      <c r="BI51" s="10">
        <f t="shared" si="8"/>
        <v>6223</v>
      </c>
      <c r="BJ51" s="1">
        <v>1</v>
      </c>
      <c r="BK51" s="1">
        <v>477</v>
      </c>
      <c r="BL51" s="1">
        <v>172</v>
      </c>
      <c r="BM51" s="1">
        <v>391</v>
      </c>
      <c r="BN51" s="1">
        <v>0</v>
      </c>
      <c r="BO51" s="1">
        <v>0</v>
      </c>
      <c r="BP51" s="48" t="s">
        <v>455</v>
      </c>
      <c r="BQ51" s="48" t="s">
        <v>455</v>
      </c>
      <c r="BR51" s="48" t="s">
        <v>455</v>
      </c>
      <c r="BS51" s="48" t="s">
        <v>455</v>
      </c>
      <c r="BT51" s="48" t="s">
        <v>455</v>
      </c>
      <c r="BU51" s="48" t="s">
        <v>455</v>
      </c>
      <c r="BV51" s="48" t="s">
        <v>455</v>
      </c>
      <c r="BW51" s="48" t="s">
        <v>455</v>
      </c>
      <c r="BX51" s="48" t="s">
        <v>455</v>
      </c>
      <c r="BY51" s="48" t="s">
        <v>455</v>
      </c>
    </row>
    <row r="52" spans="1:77">
      <c r="A52" s="1">
        <v>4</v>
      </c>
      <c r="B52" s="1" t="s">
        <v>631</v>
      </c>
      <c r="C52" s="7" t="s">
        <v>320</v>
      </c>
      <c r="D52" s="1" t="s">
        <v>564</v>
      </c>
      <c r="E52" s="1" t="s">
        <v>674</v>
      </c>
      <c r="F52" s="7" t="s">
        <v>695</v>
      </c>
      <c r="G52" s="7" t="s">
        <v>680</v>
      </c>
      <c r="H52" s="10">
        <v>5487094</v>
      </c>
      <c r="I52" s="10">
        <v>5594770</v>
      </c>
      <c r="J52" s="10">
        <v>99716</v>
      </c>
      <c r="K52" s="48">
        <v>61922</v>
      </c>
      <c r="L52" s="48">
        <v>150214</v>
      </c>
      <c r="M52" s="48">
        <v>1889936</v>
      </c>
      <c r="N52" s="48">
        <v>0</v>
      </c>
      <c r="O52" s="48">
        <v>0</v>
      </c>
      <c r="P52" s="48">
        <v>368293</v>
      </c>
      <c r="Q52" s="48">
        <v>0</v>
      </c>
      <c r="R52" s="10">
        <v>1995542</v>
      </c>
      <c r="S52" s="10">
        <v>593785</v>
      </c>
      <c r="T52" s="10">
        <v>0</v>
      </c>
      <c r="U52" s="10">
        <v>0</v>
      </c>
      <c r="V52" s="10">
        <v>5491220</v>
      </c>
      <c r="W52" s="12">
        <v>0.12</v>
      </c>
      <c r="X52" s="10">
        <v>0</v>
      </c>
      <c r="Y52" s="22">
        <f>419369/5491220</f>
        <v>7.6370824698336615E-2</v>
      </c>
      <c r="Z52" s="10">
        <v>419223</v>
      </c>
      <c r="AA52" s="10">
        <v>0</v>
      </c>
      <c r="AB52" s="10">
        <f>3882+264+544</f>
        <v>4690</v>
      </c>
      <c r="AC52" s="10">
        <v>123114</v>
      </c>
      <c r="AD52" s="10">
        <v>9584</v>
      </c>
      <c r="AE52" s="10">
        <v>17111</v>
      </c>
      <c r="AF52" s="10">
        <v>14225</v>
      </c>
      <c r="AG52" s="10">
        <v>0</v>
      </c>
      <c r="AH52" s="10">
        <v>10970</v>
      </c>
      <c r="AI52" s="10">
        <v>26426</v>
      </c>
      <c r="AJ52" s="10">
        <v>2328</v>
      </c>
      <c r="AK52" s="10">
        <f>3856+9731+9940</f>
        <v>23527</v>
      </c>
      <c r="AL52" s="10">
        <v>370</v>
      </c>
      <c r="AM52" s="10">
        <v>0</v>
      </c>
      <c r="AN52" s="10">
        <v>23001</v>
      </c>
      <c r="AO52" s="10">
        <v>2465</v>
      </c>
      <c r="AP52" s="10">
        <v>268807</v>
      </c>
      <c r="AQ52" s="10">
        <v>265840</v>
      </c>
      <c r="AR52" s="12">
        <f t="shared" si="7"/>
        <v>9.1701480988218304E-3</v>
      </c>
      <c r="AS52" s="10">
        <v>0</v>
      </c>
      <c r="AT52" s="10">
        <v>0</v>
      </c>
      <c r="AU52" s="10">
        <v>139662</v>
      </c>
      <c r="AV52" s="10">
        <v>0</v>
      </c>
      <c r="AW52" s="10">
        <v>39205</v>
      </c>
      <c r="AX52" s="10">
        <v>0</v>
      </c>
      <c r="AY52" s="10">
        <v>0</v>
      </c>
      <c r="AZ52" s="10">
        <v>0</v>
      </c>
      <c r="BA52" s="10">
        <v>1196</v>
      </c>
      <c r="BB52" s="10">
        <v>724</v>
      </c>
      <c r="BC52" s="10">
        <v>7</v>
      </c>
      <c r="BD52" s="10">
        <v>438</v>
      </c>
      <c r="BE52" s="10">
        <v>-145</v>
      </c>
      <c r="BF52" s="10">
        <v>-255</v>
      </c>
      <c r="BG52" s="10">
        <v>-229</v>
      </c>
      <c r="BH52" s="10">
        <v>-3</v>
      </c>
      <c r="BI52" s="10">
        <f t="shared" si="8"/>
        <v>1733</v>
      </c>
      <c r="BJ52" s="1">
        <v>0</v>
      </c>
      <c r="BK52" s="1">
        <v>52</v>
      </c>
      <c r="BL52" s="1">
        <v>35</v>
      </c>
      <c r="BM52" s="1">
        <v>118</v>
      </c>
      <c r="BN52" s="1">
        <v>8</v>
      </c>
      <c r="BO52" s="1">
        <v>7</v>
      </c>
      <c r="BP52" s="1" t="s">
        <v>455</v>
      </c>
      <c r="BQ52" s="1" t="s">
        <v>455</v>
      </c>
      <c r="BR52" s="1" t="s">
        <v>455</v>
      </c>
      <c r="BS52" s="1" t="s">
        <v>455</v>
      </c>
      <c r="BT52" s="1" t="s">
        <v>455</v>
      </c>
      <c r="BU52" s="1" t="s">
        <v>455</v>
      </c>
      <c r="BV52" s="1" t="s">
        <v>455</v>
      </c>
      <c r="BW52" s="1" t="s">
        <v>455</v>
      </c>
      <c r="BX52" s="1" t="s">
        <v>455</v>
      </c>
      <c r="BY52" s="1" t="s">
        <v>455</v>
      </c>
    </row>
    <row r="53" spans="1:77">
      <c r="A53" s="1">
        <v>4</v>
      </c>
      <c r="B53" s="1" t="s">
        <v>702</v>
      </c>
      <c r="C53" s="7" t="s">
        <v>331</v>
      </c>
      <c r="D53" s="1" t="s">
        <v>92</v>
      </c>
      <c r="E53" s="1" t="s">
        <v>674</v>
      </c>
      <c r="F53" s="7" t="s">
        <v>695</v>
      </c>
      <c r="G53" s="7" t="s">
        <v>680</v>
      </c>
      <c r="H53" s="10">
        <v>3822266</v>
      </c>
      <c r="I53" s="10">
        <v>3841306</v>
      </c>
      <c r="J53" s="10">
        <v>134834</v>
      </c>
      <c r="K53" s="48">
        <v>248415</v>
      </c>
      <c r="L53" s="48">
        <v>44658</v>
      </c>
      <c r="M53" s="48">
        <v>0</v>
      </c>
      <c r="N53" s="48">
        <v>2576295</v>
      </c>
      <c r="O53" s="48">
        <v>2770</v>
      </c>
      <c r="P53" s="48">
        <v>193763</v>
      </c>
      <c r="Q53" s="48">
        <v>0</v>
      </c>
      <c r="R53" s="10">
        <v>412106</v>
      </c>
      <c r="S53" s="10">
        <v>64537</v>
      </c>
      <c r="T53" s="10">
        <v>0</v>
      </c>
      <c r="U53" s="10">
        <v>0</v>
      </c>
      <c r="V53" s="10">
        <v>3779953</v>
      </c>
      <c r="W53" s="12">
        <v>0.24</v>
      </c>
      <c r="X53" s="10">
        <v>0</v>
      </c>
      <c r="Y53" s="22">
        <f>237134/3779953</f>
        <v>6.2734642467776713E-2</v>
      </c>
      <c r="Z53" s="10">
        <v>237134</v>
      </c>
      <c r="AA53" s="10">
        <v>0</v>
      </c>
      <c r="AB53" s="10">
        <f>19040+152</f>
        <v>19192</v>
      </c>
      <c r="AC53" s="10">
        <v>52885</v>
      </c>
      <c r="AD53" s="10">
        <v>3720</v>
      </c>
      <c r="AE53" s="10">
        <v>6723</v>
      </c>
      <c r="AF53" s="10">
        <f>8800+645</f>
        <v>9445</v>
      </c>
      <c r="AG53" s="10">
        <v>0</v>
      </c>
      <c r="AH53" s="10">
        <v>0</v>
      </c>
      <c r="AI53" s="10">
        <v>0</v>
      </c>
      <c r="AJ53" s="10">
        <v>0</v>
      </c>
      <c r="AK53" s="10">
        <f>4361+5990+7796</f>
        <v>18147</v>
      </c>
      <c r="AL53" s="10">
        <v>5023</v>
      </c>
      <c r="AM53" s="10">
        <v>0</v>
      </c>
      <c r="AN53" s="10">
        <v>989</v>
      </c>
      <c r="AO53" s="10">
        <v>1541</v>
      </c>
      <c r="AP53" s="10">
        <v>116374</v>
      </c>
      <c r="AQ53" s="10">
        <v>122603</v>
      </c>
      <c r="AR53" s="12">
        <f t="shared" si="7"/>
        <v>1.3241789403131284E-2</v>
      </c>
      <c r="AS53" s="10">
        <v>0</v>
      </c>
      <c r="AT53" s="10">
        <v>0</v>
      </c>
      <c r="AU53" s="10">
        <v>139662</v>
      </c>
      <c r="AV53" s="10">
        <v>0</v>
      </c>
      <c r="AW53" s="10">
        <v>19555</v>
      </c>
      <c r="AX53" s="10">
        <v>0</v>
      </c>
      <c r="AY53" s="10">
        <v>0</v>
      </c>
      <c r="AZ53" s="10">
        <v>0</v>
      </c>
      <c r="BA53" s="10">
        <v>652</v>
      </c>
      <c r="BB53" s="10">
        <v>226</v>
      </c>
      <c r="BC53" s="10">
        <v>0</v>
      </c>
      <c r="BD53" s="10">
        <v>0</v>
      </c>
      <c r="BE53" s="10">
        <v>-90</v>
      </c>
      <c r="BF53" s="10">
        <v>-116</v>
      </c>
      <c r="BG53" s="10">
        <v>-80</v>
      </c>
      <c r="BH53" s="10">
        <v>-1</v>
      </c>
      <c r="BI53" s="10">
        <f t="shared" si="8"/>
        <v>591</v>
      </c>
      <c r="BJ53" s="1">
        <v>4</v>
      </c>
      <c r="BK53" s="1">
        <v>16</v>
      </c>
      <c r="BL53" s="1">
        <v>12</v>
      </c>
      <c r="BM53" s="1">
        <v>29</v>
      </c>
      <c r="BN53" s="1">
        <v>24</v>
      </c>
      <c r="BO53" s="1">
        <v>0</v>
      </c>
      <c r="BP53" s="1" t="s">
        <v>455</v>
      </c>
      <c r="BQ53" s="1" t="s">
        <v>455</v>
      </c>
      <c r="BR53" s="1" t="s">
        <v>455</v>
      </c>
      <c r="BS53" s="1" t="s">
        <v>455</v>
      </c>
      <c r="BT53" s="1" t="s">
        <v>455</v>
      </c>
      <c r="BU53" s="1" t="s">
        <v>455</v>
      </c>
      <c r="BV53" s="1" t="s">
        <v>455</v>
      </c>
      <c r="BW53" s="1" t="s">
        <v>455</v>
      </c>
      <c r="BX53" s="1" t="s">
        <v>455</v>
      </c>
      <c r="BY53" s="1" t="s">
        <v>455</v>
      </c>
    </row>
    <row r="54" spans="1:77">
      <c r="A54" s="1">
        <v>5</v>
      </c>
      <c r="B54" s="1" t="s">
        <v>61</v>
      </c>
      <c r="C54" s="7" t="s">
        <v>705</v>
      </c>
      <c r="D54" s="1" t="s">
        <v>31</v>
      </c>
      <c r="E54" s="1" t="s">
        <v>363</v>
      </c>
      <c r="F54" s="7" t="s">
        <v>695</v>
      </c>
      <c r="G54" s="7" t="s">
        <v>389</v>
      </c>
      <c r="H54" s="10">
        <v>11291017</v>
      </c>
      <c r="I54" s="10">
        <v>11313711</v>
      </c>
      <c r="J54" s="10">
        <v>491074</v>
      </c>
      <c r="K54" s="48">
        <v>1295074</v>
      </c>
      <c r="L54" s="48">
        <v>170570</v>
      </c>
      <c r="M54" s="48">
        <v>4808536</v>
      </c>
      <c r="N54" s="48">
        <v>0</v>
      </c>
      <c r="O54" s="48">
        <v>4035</v>
      </c>
      <c r="P54" s="48">
        <v>551400</v>
      </c>
      <c r="Q54" s="48">
        <v>0</v>
      </c>
      <c r="R54" s="10">
        <v>1885793</v>
      </c>
      <c r="S54" s="10">
        <v>1202611</v>
      </c>
      <c r="T54" s="10">
        <v>1375</v>
      </c>
      <c r="U54" s="10">
        <v>0</v>
      </c>
      <c r="V54" s="10">
        <v>10666106</v>
      </c>
      <c r="W54" s="12">
        <v>0.04</v>
      </c>
      <c r="X54" s="10">
        <v>0</v>
      </c>
      <c r="Y54" s="22">
        <f>746392/10664469</f>
        <v>6.9988669853135677E-2</v>
      </c>
      <c r="Z54" s="10">
        <v>746402</v>
      </c>
      <c r="AA54" s="10">
        <v>0</v>
      </c>
      <c r="AB54" s="10">
        <f>22694+655</f>
        <v>23349</v>
      </c>
      <c r="AC54" s="10">
        <v>349829</v>
      </c>
      <c r="AD54" s="10">
        <v>28887</v>
      </c>
      <c r="AE54" s="10">
        <v>56202</v>
      </c>
      <c r="AF54" s="10">
        <v>55807</v>
      </c>
      <c r="AG54" s="10">
        <v>1719</v>
      </c>
      <c r="AH54" s="10">
        <v>16680</v>
      </c>
      <c r="AI54" s="10">
        <v>0</v>
      </c>
      <c r="AJ54" s="10">
        <v>14404</v>
      </c>
      <c r="AK54" s="10">
        <f>6471+20408+19287</f>
        <v>46166</v>
      </c>
      <c r="AL54" s="10">
        <v>16438</v>
      </c>
      <c r="AM54" s="10">
        <v>6185</v>
      </c>
      <c r="AN54" s="10">
        <v>9280</v>
      </c>
      <c r="AO54" s="10">
        <v>0</v>
      </c>
      <c r="AP54" s="10">
        <v>640092</v>
      </c>
      <c r="AQ54" s="10">
        <v>651628</v>
      </c>
      <c r="AR54" s="12">
        <f t="shared" si="7"/>
        <v>0</v>
      </c>
      <c r="AS54" s="10">
        <v>3228</v>
      </c>
      <c r="AT54" s="10">
        <v>0</v>
      </c>
      <c r="AU54" s="10">
        <v>139662</v>
      </c>
      <c r="AV54" s="10">
        <v>0</v>
      </c>
      <c r="AW54" s="10">
        <v>76553</v>
      </c>
      <c r="AX54" s="10">
        <v>0</v>
      </c>
      <c r="AY54" s="10">
        <v>0</v>
      </c>
      <c r="AZ54" s="10">
        <v>0</v>
      </c>
      <c r="BA54" s="10">
        <v>3434</v>
      </c>
      <c r="BB54" s="10">
        <v>1047</v>
      </c>
      <c r="BC54" s="10">
        <v>0</v>
      </c>
      <c r="BD54" s="10">
        <f>1+1</f>
        <v>2</v>
      </c>
      <c r="BE54" s="10">
        <v>-1</v>
      </c>
      <c r="BF54" s="10">
        <v>-593</v>
      </c>
      <c r="BG54" s="10">
        <v>-345</v>
      </c>
      <c r="BH54" s="10">
        <v>-10</v>
      </c>
      <c r="BI54" s="10">
        <f t="shared" si="8"/>
        <v>3534</v>
      </c>
      <c r="BJ54" s="1">
        <v>25</v>
      </c>
      <c r="BK54" s="1">
        <v>119</v>
      </c>
      <c r="BL54" s="1">
        <v>37</v>
      </c>
      <c r="BM54" s="1">
        <v>179</v>
      </c>
      <c r="BN54" s="1">
        <v>10</v>
      </c>
      <c r="BO54" s="1">
        <v>0</v>
      </c>
      <c r="BP54" s="1">
        <v>0</v>
      </c>
      <c r="BQ54" s="1">
        <v>0</v>
      </c>
      <c r="BR54" s="1">
        <v>1</v>
      </c>
      <c r="BS54" s="1">
        <v>0</v>
      </c>
      <c r="BT54" s="1">
        <v>0</v>
      </c>
      <c r="BU54" s="1">
        <v>117</v>
      </c>
      <c r="BV54" s="1">
        <v>20</v>
      </c>
      <c r="BW54" s="1">
        <v>209</v>
      </c>
      <c r="BX54" s="1">
        <v>91</v>
      </c>
      <c r="BY54" s="1">
        <v>0</v>
      </c>
    </row>
    <row r="55" spans="1:77">
      <c r="A55" s="1">
        <v>5</v>
      </c>
      <c r="B55" s="1" t="s">
        <v>62</v>
      </c>
      <c r="C55" s="7" t="s">
        <v>382</v>
      </c>
      <c r="D55" s="1" t="s">
        <v>322</v>
      </c>
      <c r="E55" s="1" t="s">
        <v>448</v>
      </c>
      <c r="F55" s="7" t="s">
        <v>478</v>
      </c>
      <c r="G55" s="7" t="s">
        <v>436</v>
      </c>
      <c r="H55" s="10">
        <v>29697842</v>
      </c>
      <c r="I55" s="10">
        <v>29867057</v>
      </c>
      <c r="J55" s="10">
        <v>879556</v>
      </c>
      <c r="K55" s="48">
        <v>31773</v>
      </c>
      <c r="L55" s="48">
        <v>0</v>
      </c>
      <c r="M55" s="48">
        <v>575002</v>
      </c>
      <c r="N55" s="48">
        <v>11839083</v>
      </c>
      <c r="O55" s="48">
        <v>5101</v>
      </c>
      <c r="P55" s="48">
        <v>31115</v>
      </c>
      <c r="Q55" s="48">
        <v>791593</v>
      </c>
      <c r="R55" s="10">
        <v>2128281</v>
      </c>
      <c r="S55" s="10">
        <v>1196253</v>
      </c>
      <c r="T55" s="10">
        <v>0</v>
      </c>
      <c r="U55" s="10">
        <v>0</v>
      </c>
      <c r="V55" s="10">
        <v>29289340</v>
      </c>
      <c r="W55" s="12">
        <v>8.8599999999999998E-2</v>
      </c>
      <c r="X55" s="10">
        <v>10940820</v>
      </c>
      <c r="Y55" s="22">
        <f>1241348/17732282</f>
        <v>7.0004977362755683E-2</v>
      </c>
      <c r="Z55" s="10">
        <v>1241902</v>
      </c>
      <c r="AA55" s="10">
        <v>0</v>
      </c>
      <c r="AB55" s="10">
        <f>161411+9156+2844</f>
        <v>173411</v>
      </c>
      <c r="AC55" s="10">
        <v>491899</v>
      </c>
      <c r="AD55" s="10">
        <v>43004</v>
      </c>
      <c r="AE55" s="10">
        <v>83065</v>
      </c>
      <c r="AF55" s="10">
        <f>54823+14613</f>
        <v>69436</v>
      </c>
      <c r="AG55" s="10">
        <v>26000</v>
      </c>
      <c r="AH55" s="10">
        <v>248110</v>
      </c>
      <c r="AI55" s="10">
        <v>19404</v>
      </c>
      <c r="AJ55" s="10">
        <v>26133</v>
      </c>
      <c r="AK55" s="10">
        <f>10862+61638+20048</f>
        <v>92548</v>
      </c>
      <c r="AL55" s="10">
        <v>8522</v>
      </c>
      <c r="AM55" s="10">
        <v>10803</v>
      </c>
      <c r="AN55" s="10">
        <v>6061</v>
      </c>
      <c r="AO55" s="10">
        <v>0</v>
      </c>
      <c r="AP55" s="10">
        <v>1186239</v>
      </c>
      <c r="AQ55" s="10">
        <v>1224475</v>
      </c>
      <c r="AR55" s="12">
        <f t="shared" si="7"/>
        <v>0</v>
      </c>
      <c r="AS55" s="10">
        <v>0</v>
      </c>
      <c r="AT55" s="10">
        <v>0</v>
      </c>
      <c r="AU55" s="10">
        <v>139662</v>
      </c>
      <c r="AV55" s="10">
        <v>0</v>
      </c>
      <c r="AW55" s="10">
        <v>145423</v>
      </c>
      <c r="AX55" s="10">
        <v>0</v>
      </c>
      <c r="AY55" s="10">
        <v>0</v>
      </c>
      <c r="AZ55" s="10">
        <v>0</v>
      </c>
      <c r="BA55" s="10">
        <v>5702</v>
      </c>
      <c r="BB55" s="10">
        <v>1707</v>
      </c>
      <c r="BC55" s="10">
        <v>126</v>
      </c>
      <c r="BD55" s="10">
        <v>-623</v>
      </c>
      <c r="BE55" s="10">
        <v>-312</v>
      </c>
      <c r="BF55" s="10">
        <v>-1072</v>
      </c>
      <c r="BG55" s="10">
        <v>-942</v>
      </c>
      <c r="BH55" s="10">
        <v>-1</v>
      </c>
      <c r="BI55" s="10">
        <f t="shared" si="8"/>
        <v>4585</v>
      </c>
      <c r="BJ55" s="1">
        <v>5</v>
      </c>
      <c r="BK55" s="1">
        <v>113</v>
      </c>
      <c r="BL55" s="1">
        <v>58</v>
      </c>
      <c r="BM55" s="1">
        <v>347</v>
      </c>
      <c r="BN55" s="1">
        <v>309</v>
      </c>
      <c r="BO55" s="1">
        <v>11</v>
      </c>
      <c r="BP55" s="1" t="s">
        <v>453</v>
      </c>
      <c r="BQ55" s="1" t="s">
        <v>453</v>
      </c>
      <c r="BR55" s="1" t="s">
        <v>453</v>
      </c>
      <c r="BS55" s="1" t="s">
        <v>453</v>
      </c>
      <c r="BT55" s="1" t="s">
        <v>453</v>
      </c>
      <c r="BU55" s="1" t="s">
        <v>453</v>
      </c>
      <c r="BV55" s="1" t="s">
        <v>453</v>
      </c>
      <c r="BW55" s="1" t="s">
        <v>453</v>
      </c>
      <c r="BX55" s="1" t="s">
        <v>453</v>
      </c>
      <c r="BY55" s="1" t="s">
        <v>453</v>
      </c>
    </row>
    <row r="56" spans="1:77">
      <c r="A56" s="1">
        <v>5</v>
      </c>
      <c r="B56" s="1" t="s">
        <v>63</v>
      </c>
      <c r="C56" s="7" t="s">
        <v>281</v>
      </c>
      <c r="D56" s="1" t="s">
        <v>322</v>
      </c>
      <c r="E56" s="1" t="s">
        <v>448</v>
      </c>
      <c r="F56" s="7" t="s">
        <v>617</v>
      </c>
      <c r="G56" s="7" t="s">
        <v>436</v>
      </c>
      <c r="H56" s="10">
        <v>33689246</v>
      </c>
      <c r="I56" s="10">
        <v>33860766</v>
      </c>
      <c r="J56" s="10">
        <v>1178485</v>
      </c>
      <c r="K56" s="48">
        <v>47538</v>
      </c>
      <c r="L56" s="48">
        <v>0</v>
      </c>
      <c r="M56" s="48">
        <v>1214989</v>
      </c>
      <c r="N56" s="48">
        <v>13734729</v>
      </c>
      <c r="O56" s="48">
        <v>4902</v>
      </c>
      <c r="P56" s="48">
        <v>93083</v>
      </c>
      <c r="Q56" s="48">
        <v>1066268</v>
      </c>
      <c r="R56" s="10">
        <v>3747191</v>
      </c>
      <c r="S56" s="10">
        <v>1950617</v>
      </c>
      <c r="T56" s="10">
        <v>0</v>
      </c>
      <c r="U56" s="10">
        <v>0</v>
      </c>
      <c r="V56" s="10">
        <v>33121331</v>
      </c>
      <c r="W56" s="12">
        <v>6.83E-2</v>
      </c>
      <c r="X56" s="10">
        <v>10283698</v>
      </c>
      <c r="Y56" s="22">
        <f>1209264/22835901</f>
        <v>5.295451228309319E-2</v>
      </c>
      <c r="Z56" s="10">
        <v>1209550</v>
      </c>
      <c r="AA56" s="10">
        <v>0</v>
      </c>
      <c r="AB56" s="10">
        <f>163983+9454+3122</f>
        <v>176559</v>
      </c>
      <c r="AC56" s="10">
        <v>512675</v>
      </c>
      <c r="AD56" s="10">
        <v>44451</v>
      </c>
      <c r="AE56" s="10">
        <v>110531</v>
      </c>
      <c r="AF56" s="10">
        <f>58700+16372</f>
        <v>75072</v>
      </c>
      <c r="AG56" s="10">
        <v>26000</v>
      </c>
      <c r="AH56" s="10">
        <v>271283</v>
      </c>
      <c r="AI56" s="10">
        <v>6960</v>
      </c>
      <c r="AJ56" s="10">
        <v>23606</v>
      </c>
      <c r="AK56" s="10">
        <f>9674+76325+21035</f>
        <v>107034</v>
      </c>
      <c r="AL56" s="10">
        <v>3984</v>
      </c>
      <c r="AM56" s="10">
        <v>12398</v>
      </c>
      <c r="AN56" s="10">
        <v>3818</v>
      </c>
      <c r="AO56" s="10">
        <v>0</v>
      </c>
      <c r="AP56" s="10">
        <v>1260408</v>
      </c>
      <c r="AQ56" s="10">
        <v>1293646</v>
      </c>
      <c r="AR56" s="12">
        <f t="shared" si="7"/>
        <v>0</v>
      </c>
      <c r="AS56" s="10">
        <v>0</v>
      </c>
      <c r="AT56" s="10">
        <v>0</v>
      </c>
      <c r="AU56" s="10">
        <v>139662</v>
      </c>
      <c r="AV56" s="10">
        <v>0</v>
      </c>
      <c r="AW56" s="10">
        <v>143978</v>
      </c>
      <c r="AX56" s="10">
        <v>0</v>
      </c>
      <c r="AY56" s="10">
        <v>0</v>
      </c>
      <c r="AZ56" s="10">
        <v>0</v>
      </c>
      <c r="BA56" s="10">
        <v>6353</v>
      </c>
      <c r="BB56" s="10">
        <v>1539</v>
      </c>
      <c r="BC56" s="10">
        <v>118</v>
      </c>
      <c r="BD56" s="10">
        <v>-5</v>
      </c>
      <c r="BE56" s="10">
        <v>-440</v>
      </c>
      <c r="BF56" s="10">
        <v>-1722</v>
      </c>
      <c r="BG56" s="10">
        <v>-899</v>
      </c>
      <c r="BH56" s="10">
        <v>-2</v>
      </c>
      <c r="BI56" s="10">
        <f t="shared" si="8"/>
        <v>4942</v>
      </c>
      <c r="BJ56" s="1">
        <v>3</v>
      </c>
      <c r="BK56" s="1">
        <v>265</v>
      </c>
      <c r="BL56" s="1">
        <v>67</v>
      </c>
      <c r="BM56" s="1">
        <v>351</v>
      </c>
      <c r="BN56" s="1">
        <v>174</v>
      </c>
      <c r="BO56" s="1">
        <v>22</v>
      </c>
      <c r="BP56" s="1" t="s">
        <v>453</v>
      </c>
      <c r="BQ56" s="1" t="s">
        <v>453</v>
      </c>
      <c r="BR56" s="1" t="s">
        <v>453</v>
      </c>
      <c r="BS56" s="1" t="s">
        <v>453</v>
      </c>
      <c r="BT56" s="1" t="s">
        <v>453</v>
      </c>
      <c r="BU56" s="1" t="s">
        <v>453</v>
      </c>
      <c r="BV56" s="1" t="s">
        <v>453</v>
      </c>
      <c r="BW56" s="1" t="s">
        <v>453</v>
      </c>
      <c r="BX56" s="1" t="s">
        <v>453</v>
      </c>
      <c r="BY56" s="1" t="s">
        <v>453</v>
      </c>
    </row>
    <row r="57" spans="1:77">
      <c r="A57" s="1">
        <v>5</v>
      </c>
      <c r="B57" s="1" t="s">
        <v>68</v>
      </c>
      <c r="C57" s="7" t="s">
        <v>627</v>
      </c>
      <c r="D57" s="1" t="s">
        <v>419</v>
      </c>
      <c r="E57" s="1" t="s">
        <v>363</v>
      </c>
      <c r="F57" s="7" t="s">
        <v>205</v>
      </c>
      <c r="G57" s="7" t="s">
        <v>389</v>
      </c>
      <c r="H57" s="10">
        <v>17242628</v>
      </c>
      <c r="I57" s="10">
        <v>17318565</v>
      </c>
      <c r="J57" s="10">
        <v>716312</v>
      </c>
      <c r="K57" s="48">
        <v>0</v>
      </c>
      <c r="L57" s="48">
        <v>3011443</v>
      </c>
      <c r="M57" s="48">
        <v>2715667</v>
      </c>
      <c r="N57" s="48">
        <v>0</v>
      </c>
      <c r="O57" s="48">
        <v>0</v>
      </c>
      <c r="P57" s="48">
        <v>1067780</v>
      </c>
      <c r="Q57" s="48">
        <v>0</v>
      </c>
      <c r="R57" s="10">
        <v>7241004</v>
      </c>
      <c r="S57" s="10">
        <v>1450165</v>
      </c>
      <c r="T57" s="10">
        <v>0</v>
      </c>
      <c r="U57" s="10">
        <v>0</v>
      </c>
      <c r="V57" s="10">
        <v>16215853</v>
      </c>
      <c r="W57" s="12">
        <v>0.1336</v>
      </c>
      <c r="X57" s="10">
        <v>0</v>
      </c>
      <c r="Y57" s="22">
        <f>729713/16215853</f>
        <v>4.4999976257801548E-2</v>
      </c>
      <c r="Z57" s="10">
        <v>729794</v>
      </c>
      <c r="AA57" s="10">
        <v>0</v>
      </c>
      <c r="AB57" s="10">
        <f>75937+1228</f>
        <v>77165</v>
      </c>
      <c r="AC57" s="10">
        <v>340460</v>
      </c>
      <c r="AD57" s="10">
        <v>-3073</v>
      </c>
      <c r="AE57" s="10">
        <v>77005</v>
      </c>
      <c r="AF57" s="10">
        <v>47092</v>
      </c>
      <c r="AG57" s="10">
        <v>39281</v>
      </c>
      <c r="AH57" s="10">
        <v>20545</v>
      </c>
      <c r="AI57" s="10">
        <v>2069</v>
      </c>
      <c r="AJ57" s="10">
        <v>18443</v>
      </c>
      <c r="AK57" s="10">
        <f>17150+19781+15750</f>
        <v>52681</v>
      </c>
      <c r="AL57" s="10">
        <v>9304</v>
      </c>
      <c r="AM57" s="10">
        <v>0</v>
      </c>
      <c r="AN57" s="10">
        <v>3582</v>
      </c>
      <c r="AO57" s="10">
        <v>21473</v>
      </c>
      <c r="AP57" s="10">
        <v>643070</v>
      </c>
      <c r="AQ57" s="10">
        <v>645093</v>
      </c>
      <c r="AR57" s="12">
        <f t="shared" si="7"/>
        <v>3.339138818480103E-2</v>
      </c>
      <c r="AS57" s="10">
        <v>0</v>
      </c>
      <c r="AT57" s="10">
        <v>0</v>
      </c>
      <c r="AU57" s="10">
        <v>139662</v>
      </c>
      <c r="AV57" s="10">
        <v>0</v>
      </c>
      <c r="AW57" s="10">
        <v>37407</v>
      </c>
      <c r="AX57" s="10">
        <v>0</v>
      </c>
      <c r="AY57" s="10">
        <v>0</v>
      </c>
      <c r="AZ57" s="10">
        <v>0</v>
      </c>
      <c r="BA57" s="10">
        <v>4187</v>
      </c>
      <c r="BB57" s="10">
        <v>2933</v>
      </c>
      <c r="BC57" s="10">
        <v>4</v>
      </c>
      <c r="BD57" s="10">
        <v>14</v>
      </c>
      <c r="BE57" s="10">
        <v>-216</v>
      </c>
      <c r="BF57" s="10">
        <v>-1848</v>
      </c>
      <c r="BG57" s="10">
        <v>-764</v>
      </c>
      <c r="BH57" s="10">
        <v>0</v>
      </c>
      <c r="BI57" s="10">
        <f t="shared" si="8"/>
        <v>4310</v>
      </c>
      <c r="BJ57" s="1">
        <v>0</v>
      </c>
      <c r="BK57" s="1">
        <v>488</v>
      </c>
      <c r="BL57" s="1">
        <v>44</v>
      </c>
      <c r="BM57" s="1">
        <v>173</v>
      </c>
      <c r="BN57" s="1">
        <v>1</v>
      </c>
      <c r="BO57" s="1">
        <v>58</v>
      </c>
      <c r="BP57" s="1">
        <v>3</v>
      </c>
      <c r="BQ57" s="1">
        <v>11</v>
      </c>
      <c r="BR57" s="1">
        <v>68</v>
      </c>
      <c r="BS57" s="1">
        <v>75</v>
      </c>
      <c r="BT57" s="1">
        <v>5</v>
      </c>
      <c r="BU57" s="1">
        <v>41</v>
      </c>
      <c r="BV57" s="1">
        <v>56</v>
      </c>
      <c r="BW57" s="1">
        <v>319</v>
      </c>
      <c r="BX57" s="1">
        <v>617</v>
      </c>
      <c r="BY57" s="1">
        <v>153</v>
      </c>
    </row>
    <row r="58" spans="1:77">
      <c r="A58" s="1">
        <v>5</v>
      </c>
      <c r="B58" s="1" t="s">
        <v>71</v>
      </c>
      <c r="C58" s="7" t="s">
        <v>321</v>
      </c>
      <c r="D58" s="1" t="s">
        <v>285</v>
      </c>
      <c r="E58" s="1" t="s">
        <v>448</v>
      </c>
      <c r="F58" s="7" t="s">
        <v>617</v>
      </c>
      <c r="G58" s="7" t="s">
        <v>436</v>
      </c>
      <c r="H58" s="10">
        <v>12304946</v>
      </c>
      <c r="I58" s="10">
        <v>13506685</v>
      </c>
      <c r="J58" s="10">
        <v>292753</v>
      </c>
      <c r="K58" s="48">
        <v>1285570</v>
      </c>
      <c r="L58" s="48">
        <v>791256</v>
      </c>
      <c r="M58" s="48">
        <v>6552724</v>
      </c>
      <c r="N58" s="48">
        <v>0</v>
      </c>
      <c r="O58" s="48">
        <v>2406</v>
      </c>
      <c r="P58" s="48">
        <v>317680</v>
      </c>
      <c r="Q58" s="48">
        <v>15200</v>
      </c>
      <c r="R58" s="10">
        <v>1890144</v>
      </c>
      <c r="S58" s="10">
        <v>889171</v>
      </c>
      <c r="T58" s="10">
        <v>0</v>
      </c>
      <c r="U58" s="10">
        <v>0</v>
      </c>
      <c r="V58" s="10">
        <v>12434220</v>
      </c>
      <c r="W58" s="12">
        <v>0.14000000000000001</v>
      </c>
      <c r="X58" s="10">
        <v>0</v>
      </c>
      <c r="Y58" s="22">
        <f>632956/12376478</f>
        <v>5.1141851502503381E-2</v>
      </c>
      <c r="Z58" s="10">
        <v>632957</v>
      </c>
      <c r="AA58" s="10">
        <v>0</v>
      </c>
      <c r="AB58" s="10">
        <f>9825+954+1301</f>
        <v>12080</v>
      </c>
      <c r="AC58" s="10">
        <v>231889</v>
      </c>
      <c r="AD58" s="10">
        <v>18579</v>
      </c>
      <c r="AE58" s="10">
        <v>47093</v>
      </c>
      <c r="AF58" s="10">
        <v>37082</v>
      </c>
      <c r="AG58" s="10">
        <v>4800</v>
      </c>
      <c r="AH58" s="10">
        <v>19412</v>
      </c>
      <c r="AI58" s="10">
        <v>15798</v>
      </c>
      <c r="AJ58" s="10">
        <v>5378</v>
      </c>
      <c r="AK58" s="10">
        <f>10779+23904+15390</f>
        <v>50073</v>
      </c>
      <c r="AL58" s="10">
        <v>5262</v>
      </c>
      <c r="AM58" s="10">
        <v>0</v>
      </c>
      <c r="AN58" s="10">
        <v>7575</v>
      </c>
      <c r="AO58" s="10">
        <v>0</v>
      </c>
      <c r="AP58" s="10">
        <v>502322</v>
      </c>
      <c r="AQ58" s="10">
        <v>520093</v>
      </c>
      <c r="AR58" s="12">
        <f t="shared" si="7"/>
        <v>0</v>
      </c>
      <c r="AS58" s="10">
        <v>0</v>
      </c>
      <c r="AT58" s="10">
        <v>0</v>
      </c>
      <c r="AU58" s="10">
        <v>139662</v>
      </c>
      <c r="AV58" s="10">
        <v>0</v>
      </c>
      <c r="AW58" s="10">
        <v>64066</v>
      </c>
      <c r="AX58" s="10">
        <v>0</v>
      </c>
      <c r="AY58" s="10">
        <v>0</v>
      </c>
      <c r="AZ58" s="10">
        <v>0</v>
      </c>
      <c r="BA58" s="10">
        <v>2917</v>
      </c>
      <c r="BB58" s="10">
        <v>1204</v>
      </c>
      <c r="BC58" s="10">
        <v>2</v>
      </c>
      <c r="BD58" s="10">
        <f>2+2-2+103</f>
        <v>105</v>
      </c>
      <c r="BE58" s="10">
        <v>-183</v>
      </c>
      <c r="BF58" s="10">
        <v>-672</v>
      </c>
      <c r="BG58" s="10">
        <v>-373</v>
      </c>
      <c r="BH58" s="10">
        <v>0</v>
      </c>
      <c r="BI58" s="10">
        <f t="shared" si="8"/>
        <v>3000</v>
      </c>
      <c r="BJ58" s="1">
        <v>1</v>
      </c>
      <c r="BK58" s="1">
        <v>117</v>
      </c>
      <c r="BL58" s="1">
        <v>37</v>
      </c>
      <c r="BM58" s="1">
        <v>138</v>
      </c>
      <c r="BN58" s="1">
        <v>11</v>
      </c>
      <c r="BO58" s="1">
        <v>70</v>
      </c>
      <c r="BP58" s="1">
        <v>6</v>
      </c>
      <c r="BQ58" s="1">
        <v>5</v>
      </c>
      <c r="BR58" s="1">
        <v>58</v>
      </c>
      <c r="BS58" s="1">
        <v>64</v>
      </c>
      <c r="BT58" s="1">
        <v>8</v>
      </c>
      <c r="BU58" s="1">
        <v>21</v>
      </c>
      <c r="BV58" s="1">
        <v>12</v>
      </c>
      <c r="BW58" s="1">
        <v>222</v>
      </c>
      <c r="BX58" s="1">
        <v>246</v>
      </c>
      <c r="BY58" s="1">
        <v>84</v>
      </c>
    </row>
    <row r="59" spans="1:77">
      <c r="A59" s="1">
        <v>5</v>
      </c>
      <c r="B59" s="1" t="s">
        <v>158</v>
      </c>
      <c r="C59" s="7" t="s">
        <v>42</v>
      </c>
      <c r="D59" s="7" t="s">
        <v>66</v>
      </c>
      <c r="E59" s="7" t="s">
        <v>363</v>
      </c>
      <c r="F59" s="7" t="s">
        <v>427</v>
      </c>
      <c r="G59" s="7" t="s">
        <v>389</v>
      </c>
      <c r="H59" s="10">
        <v>11282168</v>
      </c>
      <c r="I59" s="10">
        <v>11241985</v>
      </c>
      <c r="J59" s="10">
        <v>719791</v>
      </c>
      <c r="K59" s="48">
        <v>0</v>
      </c>
      <c r="L59" s="48">
        <v>0</v>
      </c>
      <c r="M59" s="48">
        <v>0</v>
      </c>
      <c r="N59" s="48">
        <v>4985993</v>
      </c>
      <c r="O59" s="48">
        <v>0</v>
      </c>
      <c r="P59" s="48">
        <v>0</v>
      </c>
      <c r="Q59" s="48">
        <v>673745</v>
      </c>
      <c r="R59" s="10">
        <v>3293343</v>
      </c>
      <c r="S59" s="10">
        <v>783529</v>
      </c>
      <c r="T59" s="10">
        <v>35600</v>
      </c>
      <c r="U59" s="10">
        <v>0</v>
      </c>
      <c r="V59" s="10">
        <v>10638829</v>
      </c>
      <c r="W59" s="12">
        <v>0.03</v>
      </c>
      <c r="X59" s="10">
        <v>124002</v>
      </c>
      <c r="Y59" s="22">
        <f>713894/10402913</f>
        <v>6.8624432406576882E-2</v>
      </c>
      <c r="Z59" s="10">
        <v>707459</v>
      </c>
      <c r="AA59" s="10">
        <v>0</v>
      </c>
      <c r="AB59" s="10">
        <f>32405+1020</f>
        <v>33425</v>
      </c>
      <c r="AC59" s="10">
        <v>271526</v>
      </c>
      <c r="AD59" s="10">
        <v>24608</v>
      </c>
      <c r="AE59" s="10">
        <v>52982</v>
      </c>
      <c r="AF59" s="10">
        <f>51523+6422</f>
        <v>57945</v>
      </c>
      <c r="AG59" s="10">
        <v>12000</v>
      </c>
      <c r="AH59" s="10">
        <v>23125</v>
      </c>
      <c r="AI59" s="10">
        <v>10159</v>
      </c>
      <c r="AJ59" s="10">
        <v>34063</v>
      </c>
      <c r="AK59" s="10">
        <f>14594+10126+20423</f>
        <v>45143</v>
      </c>
      <c r="AL59" s="10">
        <v>6738</v>
      </c>
      <c r="AM59" s="10">
        <v>3815</v>
      </c>
      <c r="AN59" s="10">
        <v>28287</v>
      </c>
      <c r="AO59" s="10">
        <v>0</v>
      </c>
      <c r="AP59" s="10">
        <v>609874</v>
      </c>
      <c r="AQ59" s="10">
        <v>607798</v>
      </c>
      <c r="AR59" s="12">
        <f t="shared" si="7"/>
        <v>0</v>
      </c>
      <c r="AS59" s="10">
        <v>0</v>
      </c>
      <c r="AT59" s="10">
        <v>0</v>
      </c>
      <c r="AU59" s="10">
        <v>139662</v>
      </c>
      <c r="AV59" s="10">
        <v>0</v>
      </c>
      <c r="AW59" s="10">
        <v>100500</v>
      </c>
      <c r="AX59" s="10">
        <v>0</v>
      </c>
      <c r="AY59" s="10">
        <v>0</v>
      </c>
      <c r="AZ59" s="10">
        <v>0</v>
      </c>
      <c r="BA59" s="10">
        <v>1921</v>
      </c>
      <c r="BB59" s="10">
        <v>816</v>
      </c>
      <c r="BC59" s="10">
        <v>0</v>
      </c>
      <c r="BD59" s="10">
        <v>28</v>
      </c>
      <c r="BE59" s="10">
        <v>-325</v>
      </c>
      <c r="BF59" s="10">
        <v>-225</v>
      </c>
      <c r="BG59" s="10">
        <v>-344</v>
      </c>
      <c r="BH59" s="10">
        <v>0</v>
      </c>
      <c r="BI59" s="10">
        <f t="shared" si="8"/>
        <v>1871</v>
      </c>
      <c r="BJ59" s="1">
        <v>0</v>
      </c>
      <c r="BK59" s="1">
        <v>169</v>
      </c>
      <c r="BL59" s="1">
        <v>45</v>
      </c>
      <c r="BM59" s="1">
        <v>116</v>
      </c>
      <c r="BN59" s="1">
        <v>14</v>
      </c>
      <c r="BO59" s="1">
        <v>0</v>
      </c>
      <c r="BP59" s="1" t="s">
        <v>453</v>
      </c>
      <c r="BQ59" s="1" t="s">
        <v>453</v>
      </c>
      <c r="BR59" s="1" t="s">
        <v>453</v>
      </c>
      <c r="BS59" s="1" t="s">
        <v>453</v>
      </c>
      <c r="BT59" s="1" t="s">
        <v>453</v>
      </c>
      <c r="BU59" s="1" t="s">
        <v>453</v>
      </c>
      <c r="BV59" s="1" t="s">
        <v>453</v>
      </c>
      <c r="BW59" s="1" t="s">
        <v>453</v>
      </c>
      <c r="BX59" s="1" t="s">
        <v>453</v>
      </c>
      <c r="BY59" s="1" t="s">
        <v>453</v>
      </c>
    </row>
    <row r="60" spans="1:77">
      <c r="A60" s="1">
        <v>5</v>
      </c>
      <c r="B60" s="1" t="s">
        <v>169</v>
      </c>
      <c r="C60" s="7" t="s">
        <v>507</v>
      </c>
      <c r="D60" s="1" t="s">
        <v>605</v>
      </c>
      <c r="E60" s="1" t="s">
        <v>363</v>
      </c>
      <c r="F60" s="7" t="s">
        <v>695</v>
      </c>
      <c r="G60" s="7" t="s">
        <v>389</v>
      </c>
      <c r="H60" s="10">
        <v>48008643</v>
      </c>
      <c r="I60" s="10">
        <v>48127727</v>
      </c>
      <c r="J60" s="10">
        <v>1160905</v>
      </c>
      <c r="K60" s="48">
        <v>6770926</v>
      </c>
      <c r="L60" s="48">
        <v>1153067</v>
      </c>
      <c r="M60" s="48">
        <v>20766769</v>
      </c>
      <c r="N60" s="48">
        <v>0</v>
      </c>
      <c r="O60" s="48">
        <v>110794</v>
      </c>
      <c r="P60" s="48">
        <v>1838797</v>
      </c>
      <c r="Q60" s="48">
        <v>1156161</v>
      </c>
      <c r="R60" s="10">
        <v>8299176</v>
      </c>
      <c r="S60" s="10">
        <v>5398641</v>
      </c>
      <c r="T60" s="10">
        <v>4109</v>
      </c>
      <c r="U60" s="10">
        <v>0</v>
      </c>
      <c r="V60" s="10">
        <v>46936921</v>
      </c>
      <c r="W60" s="12">
        <v>0.02</v>
      </c>
      <c r="X60" s="10">
        <v>0</v>
      </c>
      <c r="Y60" s="22">
        <f>1433573/46928300</f>
        <v>3.0548155377458804E-2</v>
      </c>
      <c r="Z60" s="10">
        <v>1433969</v>
      </c>
      <c r="AA60" s="10">
        <v>0</v>
      </c>
      <c r="AB60" s="10">
        <f>119084+4184</f>
        <v>123268</v>
      </c>
      <c r="AC60" s="10">
        <v>784830</v>
      </c>
      <c r="AD60" s="10">
        <v>62302</v>
      </c>
      <c r="AE60" s="10">
        <v>158682</v>
      </c>
      <c r="AF60" s="10">
        <f>84763+0</f>
        <v>84763</v>
      </c>
      <c r="AG60" s="10">
        <v>0</v>
      </c>
      <c r="AH60" s="10">
        <v>17282</v>
      </c>
      <c r="AI60" s="10">
        <v>0</v>
      </c>
      <c r="AJ60" s="10">
        <v>77381</v>
      </c>
      <c r="AK60" s="10">
        <f>14809+47164+32862</f>
        <v>94835</v>
      </c>
      <c r="AL60" s="10">
        <v>10557</v>
      </c>
      <c r="AM60" s="10">
        <v>0</v>
      </c>
      <c r="AN60" s="10">
        <v>45398</v>
      </c>
      <c r="AO60" s="10">
        <v>81741</v>
      </c>
      <c r="AP60" s="10">
        <v>1431611</v>
      </c>
      <c r="AQ60" s="10">
        <v>1461339</v>
      </c>
      <c r="AR60" s="12">
        <f t="shared" si="7"/>
        <v>5.7097214257224901E-2</v>
      </c>
      <c r="AS60" s="10">
        <v>0</v>
      </c>
      <c r="AT60" s="10">
        <v>0</v>
      </c>
      <c r="AU60" s="10">
        <v>139662</v>
      </c>
      <c r="AV60" s="10">
        <v>0</v>
      </c>
      <c r="AW60" s="10">
        <v>154336</v>
      </c>
      <c r="AX60" s="10">
        <v>0</v>
      </c>
      <c r="AY60" s="10">
        <v>0</v>
      </c>
      <c r="AZ60" s="10">
        <v>0</v>
      </c>
      <c r="BA60" s="10">
        <v>10614</v>
      </c>
      <c r="BB60" s="10">
        <v>3348</v>
      </c>
      <c r="BC60" s="10">
        <v>63</v>
      </c>
      <c r="BD60" s="10">
        <f>1+19-1</f>
        <v>19</v>
      </c>
      <c r="BE60" s="10">
        <v>-557</v>
      </c>
      <c r="BF60" s="10">
        <v>-1645</v>
      </c>
      <c r="BG60" s="10">
        <v>-1371</v>
      </c>
      <c r="BH60" s="10">
        <v>-23</v>
      </c>
      <c r="BI60" s="10">
        <f t="shared" si="8"/>
        <v>10448</v>
      </c>
      <c r="BJ60" s="1">
        <v>10</v>
      </c>
      <c r="BK60" s="1">
        <v>484</v>
      </c>
      <c r="BL60" s="1">
        <v>176</v>
      </c>
      <c r="BM60" s="1">
        <v>634</v>
      </c>
      <c r="BN60" s="1">
        <v>31</v>
      </c>
      <c r="BO60" s="1">
        <v>46</v>
      </c>
      <c r="BP60" s="1">
        <v>4</v>
      </c>
      <c r="BQ60" s="1">
        <v>4</v>
      </c>
      <c r="BR60" s="1">
        <v>70</v>
      </c>
      <c r="BS60" s="1">
        <v>386</v>
      </c>
      <c r="BT60" s="1">
        <v>12</v>
      </c>
      <c r="BU60" s="1">
        <v>14</v>
      </c>
      <c r="BV60" s="1">
        <v>26</v>
      </c>
      <c r="BW60" s="1">
        <v>160</v>
      </c>
      <c r="BX60" s="1">
        <v>1078</v>
      </c>
      <c r="BY60" s="1">
        <v>64</v>
      </c>
    </row>
    <row r="61" spans="1:77">
      <c r="A61" s="31">
        <v>5</v>
      </c>
      <c r="B61" s="7" t="s">
        <v>291</v>
      </c>
      <c r="C61" s="38" t="s">
        <v>324</v>
      </c>
      <c r="D61" s="7" t="s">
        <v>322</v>
      </c>
      <c r="E61" s="7" t="s">
        <v>448</v>
      </c>
      <c r="F61" s="7" t="s">
        <v>617</v>
      </c>
      <c r="G61" s="7" t="s">
        <v>436</v>
      </c>
      <c r="H61" s="10">
        <v>1123838</v>
      </c>
      <c r="I61" s="10">
        <v>1124284</v>
      </c>
      <c r="J61" s="10">
        <v>20225</v>
      </c>
      <c r="K61" s="48">
        <v>187813</v>
      </c>
      <c r="L61" s="48">
        <v>0</v>
      </c>
      <c r="M61" s="48">
        <v>191726</v>
      </c>
      <c r="N61" s="48">
        <v>0</v>
      </c>
      <c r="O61" s="48">
        <v>226</v>
      </c>
      <c r="P61" s="48">
        <v>13187</v>
      </c>
      <c r="Q61" s="48">
        <v>372</v>
      </c>
      <c r="R61" s="10">
        <v>49477</v>
      </c>
      <c r="S61" s="10">
        <v>120147</v>
      </c>
      <c r="T61" s="10">
        <v>0</v>
      </c>
      <c r="U61" s="10">
        <v>0</v>
      </c>
      <c r="V61" s="10">
        <v>604647</v>
      </c>
      <c r="W61" s="12">
        <v>0.44419999999999998</v>
      </c>
      <c r="X61" s="10">
        <f>187813+226</f>
        <v>188039</v>
      </c>
      <c r="Y61" s="22">
        <f>41614/416141</f>
        <v>9.9999759696833529E-2</v>
      </c>
      <c r="Z61" s="10">
        <v>41699</v>
      </c>
      <c r="AA61" s="10">
        <v>0</v>
      </c>
      <c r="AB61" s="10">
        <f>160+84</f>
        <v>244</v>
      </c>
      <c r="AC61" s="10">
        <v>74000</v>
      </c>
      <c r="AD61" s="10">
        <v>6643</v>
      </c>
      <c r="AE61" s="10">
        <v>6699</v>
      </c>
      <c r="AF61" s="10">
        <f>28125+110</f>
        <v>28235</v>
      </c>
      <c r="AG61" s="10">
        <v>211</v>
      </c>
      <c r="AH61" s="10">
        <v>171</v>
      </c>
      <c r="AI61" s="10">
        <v>0</v>
      </c>
      <c r="AJ61" s="10">
        <v>7702</v>
      </c>
      <c r="AK61" s="10">
        <f>5182+4362+10200</f>
        <v>19744</v>
      </c>
      <c r="AL61" s="10">
        <v>4853</v>
      </c>
      <c r="AM61" s="10">
        <v>5732</v>
      </c>
      <c r="AN61" s="10">
        <v>21890</v>
      </c>
      <c r="AO61" s="10">
        <v>0</v>
      </c>
      <c r="AP61" s="10">
        <v>186964</v>
      </c>
      <c r="AQ61" s="10">
        <v>211866</v>
      </c>
      <c r="AR61" s="12">
        <f t="shared" si="7"/>
        <v>0</v>
      </c>
      <c r="AS61" s="10">
        <v>0</v>
      </c>
      <c r="AT61" s="10">
        <v>0</v>
      </c>
      <c r="AU61" s="10">
        <v>493</v>
      </c>
      <c r="AV61" s="10">
        <v>0</v>
      </c>
      <c r="AW61" s="10">
        <v>4486</v>
      </c>
      <c r="AX61" s="10">
        <v>0</v>
      </c>
      <c r="AY61" s="10">
        <v>0</v>
      </c>
      <c r="AZ61" s="10">
        <v>0</v>
      </c>
      <c r="BA61" s="10">
        <v>0</v>
      </c>
      <c r="BB61" s="10">
        <v>1147</v>
      </c>
      <c r="BC61" s="10">
        <v>15</v>
      </c>
      <c r="BD61" s="10">
        <v>-3</v>
      </c>
      <c r="BE61" s="10">
        <v>-41</v>
      </c>
      <c r="BF61" s="10">
        <v>-104</v>
      </c>
      <c r="BG61" s="10">
        <v>0</v>
      </c>
      <c r="BH61" s="10">
        <v>0</v>
      </c>
      <c r="BI61" s="10">
        <f t="shared" si="8"/>
        <v>1014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 t="s">
        <v>453</v>
      </c>
      <c r="BQ61" s="1" t="s">
        <v>453</v>
      </c>
      <c r="BR61" s="1" t="s">
        <v>453</v>
      </c>
      <c r="BS61" s="1" t="s">
        <v>453</v>
      </c>
      <c r="BT61" s="1" t="s">
        <v>453</v>
      </c>
      <c r="BU61" s="1" t="s">
        <v>453</v>
      </c>
      <c r="BV61" s="1" t="s">
        <v>453</v>
      </c>
      <c r="BW61" s="1" t="s">
        <v>453</v>
      </c>
      <c r="BX61" s="1" t="s">
        <v>453</v>
      </c>
      <c r="BY61" s="1" t="s">
        <v>453</v>
      </c>
    </row>
    <row r="62" spans="1:77">
      <c r="A62" s="1">
        <v>5</v>
      </c>
      <c r="B62" s="1" t="s">
        <v>573</v>
      </c>
      <c r="C62" s="7" t="s">
        <v>348</v>
      </c>
      <c r="D62" s="1" t="s">
        <v>366</v>
      </c>
      <c r="E62" s="1" t="s">
        <v>363</v>
      </c>
      <c r="F62" s="7" t="s">
        <v>695</v>
      </c>
      <c r="G62" s="7" t="s">
        <v>389</v>
      </c>
      <c r="H62" s="10">
        <v>14701511</v>
      </c>
      <c r="I62" s="10">
        <v>14748734</v>
      </c>
      <c r="J62" s="10">
        <v>288852</v>
      </c>
      <c r="K62" s="48">
        <v>368779</v>
      </c>
      <c r="L62" s="48">
        <v>0</v>
      </c>
      <c r="M62" s="48">
        <v>0</v>
      </c>
      <c r="N62" s="48">
        <v>7556000</v>
      </c>
      <c r="O62" s="48">
        <v>0</v>
      </c>
      <c r="P62" s="48">
        <v>0</v>
      </c>
      <c r="Q62" s="48">
        <v>644632</v>
      </c>
      <c r="R62" s="10">
        <v>3492318</v>
      </c>
      <c r="S62" s="10">
        <v>1214237</v>
      </c>
      <c r="T62" s="10">
        <v>0</v>
      </c>
      <c r="U62" s="10">
        <v>0</v>
      </c>
      <c r="V62" s="10">
        <v>14134759</v>
      </c>
      <c r="W62" s="12">
        <v>0.11</v>
      </c>
      <c r="X62" s="10">
        <v>368779</v>
      </c>
      <c r="Y62" s="22">
        <f>863740/13840584</f>
        <v>6.2406326207044442E-2</v>
      </c>
      <c r="Z62" s="10">
        <v>858756</v>
      </c>
      <c r="AA62" s="10">
        <v>0</v>
      </c>
      <c r="AB62" s="10">
        <f>47223+1381</f>
        <v>48604</v>
      </c>
      <c r="AC62" s="10">
        <v>349655</v>
      </c>
      <c r="AD62" s="10">
        <v>28917</v>
      </c>
      <c r="AE62" s="10">
        <v>62867</v>
      </c>
      <c r="AF62" s="10">
        <v>41220</v>
      </c>
      <c r="AG62" s="10">
        <v>13173</v>
      </c>
      <c r="AH62" s="10">
        <v>21101</v>
      </c>
      <c r="AI62" s="10">
        <v>47168</v>
      </c>
      <c r="AJ62" s="10">
        <v>11163</v>
      </c>
      <c r="AK62" s="10">
        <f>12333+27834+21063</f>
        <v>61230</v>
      </c>
      <c r="AL62" s="10">
        <v>8997</v>
      </c>
      <c r="AM62" s="10">
        <v>7597</v>
      </c>
      <c r="AN62" s="10">
        <v>27327</v>
      </c>
      <c r="AO62" s="10">
        <v>0</v>
      </c>
      <c r="AP62" s="10">
        <v>746644</v>
      </c>
      <c r="AQ62" s="10">
        <v>774067</v>
      </c>
      <c r="AR62" s="12">
        <f t="shared" si="7"/>
        <v>0</v>
      </c>
      <c r="AS62" s="10">
        <v>0</v>
      </c>
      <c r="AT62" s="10">
        <v>0</v>
      </c>
      <c r="AU62" s="10">
        <v>139662</v>
      </c>
      <c r="AV62" s="10">
        <v>0</v>
      </c>
      <c r="AW62" s="10">
        <v>111968</v>
      </c>
      <c r="AX62" s="10">
        <v>0</v>
      </c>
      <c r="AY62" s="10">
        <v>0</v>
      </c>
      <c r="AZ62" s="10">
        <v>0</v>
      </c>
      <c r="BA62" s="10">
        <v>3738</v>
      </c>
      <c r="BB62" s="10">
        <v>1386</v>
      </c>
      <c r="BC62" s="10">
        <v>0</v>
      </c>
      <c r="BD62" s="10">
        <v>-2</v>
      </c>
      <c r="BE62" s="10">
        <v>-296</v>
      </c>
      <c r="BF62" s="10">
        <v>-828</v>
      </c>
      <c r="BG62" s="10">
        <v>-403</v>
      </c>
      <c r="BH62" s="10">
        <v>-4</v>
      </c>
      <c r="BI62" s="10">
        <f t="shared" si="8"/>
        <v>3591</v>
      </c>
      <c r="BJ62" s="1">
        <v>9</v>
      </c>
      <c r="BK62" s="1">
        <v>140</v>
      </c>
      <c r="BL62" s="1">
        <v>71</v>
      </c>
      <c r="BM62" s="1">
        <v>179</v>
      </c>
      <c r="BN62" s="1">
        <v>3</v>
      </c>
      <c r="BO62" s="1">
        <v>7</v>
      </c>
      <c r="BP62" s="1">
        <f>140+71+179+10</f>
        <v>400</v>
      </c>
      <c r="BQ62" s="1" t="s">
        <v>453</v>
      </c>
      <c r="BR62" s="1" t="s">
        <v>453</v>
      </c>
      <c r="BS62" s="1" t="s">
        <v>453</v>
      </c>
      <c r="BT62" s="1" t="s">
        <v>453</v>
      </c>
      <c r="BU62" s="1" t="s">
        <v>453</v>
      </c>
      <c r="BV62" s="1" t="s">
        <v>453</v>
      </c>
      <c r="BW62" s="1" t="s">
        <v>453</v>
      </c>
      <c r="BX62" s="1" t="s">
        <v>453</v>
      </c>
      <c r="BY62" s="1" t="s">
        <v>453</v>
      </c>
    </row>
    <row r="63" spans="1:77">
      <c r="A63" s="1">
        <v>5</v>
      </c>
      <c r="B63" s="1" t="s">
        <v>607</v>
      </c>
      <c r="C63" s="7" t="s">
        <v>198</v>
      </c>
      <c r="D63" s="1" t="s">
        <v>273</v>
      </c>
      <c r="E63" s="1" t="s">
        <v>448</v>
      </c>
      <c r="F63" s="7" t="s">
        <v>617</v>
      </c>
      <c r="G63" s="7" t="s">
        <v>436</v>
      </c>
      <c r="H63" s="10">
        <v>8780826</v>
      </c>
      <c r="I63" s="10">
        <v>8797162</v>
      </c>
      <c r="J63" s="10">
        <v>204188</v>
      </c>
      <c r="K63" s="48">
        <v>0</v>
      </c>
      <c r="L63" s="48">
        <v>0</v>
      </c>
      <c r="M63" s="48">
        <v>0</v>
      </c>
      <c r="N63" s="48">
        <v>5245650</v>
      </c>
      <c r="O63" s="48">
        <v>0</v>
      </c>
      <c r="P63" s="48">
        <v>0</v>
      </c>
      <c r="Q63" s="48">
        <v>565715</v>
      </c>
      <c r="R63" s="10">
        <v>1618138</v>
      </c>
      <c r="S63" s="10">
        <v>678044</v>
      </c>
      <c r="T63" s="10">
        <v>0</v>
      </c>
      <c r="U63" s="10">
        <v>0</v>
      </c>
      <c r="V63" s="10">
        <v>8621229</v>
      </c>
      <c r="W63" s="12">
        <v>0.08</v>
      </c>
      <c r="X63" s="10">
        <v>0</v>
      </c>
      <c r="Y63" s="22">
        <f>514866/8613556</f>
        <v>5.9773919157198256E-2</v>
      </c>
      <c r="Z63" s="10">
        <v>513682</v>
      </c>
      <c r="AA63" s="10">
        <v>0</v>
      </c>
      <c r="AB63" s="10">
        <f>16336+1655</f>
        <v>17991</v>
      </c>
      <c r="AC63" s="10">
        <v>166698</v>
      </c>
      <c r="AD63" s="10">
        <v>13958</v>
      </c>
      <c r="AE63" s="10">
        <v>12819</v>
      </c>
      <c r="AF63" s="10">
        <f>15600+3153</f>
        <v>18753</v>
      </c>
      <c r="AG63" s="10">
        <v>10700</v>
      </c>
      <c r="AH63" s="10">
        <v>19493</v>
      </c>
      <c r="AI63" s="10">
        <v>0</v>
      </c>
      <c r="AJ63" s="10">
        <v>71687</v>
      </c>
      <c r="AK63" s="10">
        <f>10033+18085+6390</f>
        <v>34508</v>
      </c>
      <c r="AL63" s="10">
        <v>4301</v>
      </c>
      <c r="AM63" s="10">
        <v>1647</v>
      </c>
      <c r="AN63" s="10">
        <v>10565</v>
      </c>
      <c r="AO63" s="10">
        <v>0</v>
      </c>
      <c r="AP63" s="10">
        <v>386485</v>
      </c>
      <c r="AQ63" s="10">
        <v>393215</v>
      </c>
      <c r="AR63" s="12">
        <f t="shared" si="7"/>
        <v>0</v>
      </c>
      <c r="AS63" s="10">
        <v>0</v>
      </c>
      <c r="AT63" s="10">
        <v>0</v>
      </c>
      <c r="AU63" s="10">
        <v>139662</v>
      </c>
      <c r="AV63" s="10">
        <v>0</v>
      </c>
      <c r="AW63" s="10">
        <v>51164</v>
      </c>
      <c r="AX63" s="10">
        <v>0</v>
      </c>
      <c r="AY63" s="10">
        <v>0</v>
      </c>
      <c r="AZ63" s="10">
        <v>0</v>
      </c>
      <c r="BA63" s="10">
        <v>2012</v>
      </c>
      <c r="BB63" s="10">
        <v>891</v>
      </c>
      <c r="BC63" s="10">
        <v>353</v>
      </c>
      <c r="BD63" s="10">
        <v>0</v>
      </c>
      <c r="BE63" s="10">
        <v>-262</v>
      </c>
      <c r="BF63" s="10">
        <v>-452</v>
      </c>
      <c r="BG63" s="10">
        <v>-461</v>
      </c>
      <c r="BH63" s="10">
        <v>-3</v>
      </c>
      <c r="BI63" s="10">
        <f t="shared" si="8"/>
        <v>2078</v>
      </c>
      <c r="BJ63" s="1">
        <v>7</v>
      </c>
      <c r="BK63" s="1">
        <v>28</v>
      </c>
      <c r="BL63" s="1">
        <v>35</v>
      </c>
      <c r="BM63" s="1">
        <v>209</v>
      </c>
      <c r="BN63" s="1">
        <v>2</v>
      </c>
      <c r="BO63" s="1">
        <v>3</v>
      </c>
      <c r="BP63" s="1" t="s">
        <v>453</v>
      </c>
      <c r="BQ63" s="1" t="s">
        <v>453</v>
      </c>
      <c r="BR63" s="1" t="s">
        <v>453</v>
      </c>
      <c r="BS63" s="1" t="s">
        <v>453</v>
      </c>
      <c r="BT63" s="1" t="s">
        <v>453</v>
      </c>
      <c r="BU63" s="1" t="s">
        <v>453</v>
      </c>
      <c r="BV63" s="1" t="s">
        <v>453</v>
      </c>
      <c r="BW63" s="1" t="s">
        <v>453</v>
      </c>
      <c r="BX63" s="1" t="s">
        <v>453</v>
      </c>
      <c r="BY63" s="1" t="s">
        <v>453</v>
      </c>
    </row>
    <row r="64" spans="1:77">
      <c r="A64" s="31">
        <v>5</v>
      </c>
      <c r="B64" s="7" t="s">
        <v>677</v>
      </c>
      <c r="C64" s="38" t="s">
        <v>395</v>
      </c>
      <c r="D64" s="7" t="s">
        <v>322</v>
      </c>
      <c r="E64" s="7" t="s">
        <v>448</v>
      </c>
      <c r="F64" s="7" t="s">
        <v>478</v>
      </c>
      <c r="G64" s="7" t="s">
        <v>436</v>
      </c>
      <c r="H64" s="10">
        <v>2577656</v>
      </c>
      <c r="I64" s="10">
        <v>3203997</v>
      </c>
      <c r="J64" s="10">
        <v>40117</v>
      </c>
      <c r="K64" s="48">
        <v>825091</v>
      </c>
      <c r="L64" s="48">
        <v>0</v>
      </c>
      <c r="M64" s="48">
        <v>633987</v>
      </c>
      <c r="N64" s="48">
        <v>376778</v>
      </c>
      <c r="O64" s="48">
        <v>0</v>
      </c>
      <c r="P64" s="48">
        <v>18760</v>
      </c>
      <c r="Q64" s="48">
        <v>11926</v>
      </c>
      <c r="R64" s="10">
        <v>275379</v>
      </c>
      <c r="S64" s="10">
        <v>270432</v>
      </c>
      <c r="T64" s="10">
        <v>0</v>
      </c>
      <c r="U64" s="10">
        <v>0</v>
      </c>
      <c r="V64" s="10">
        <v>2637608</v>
      </c>
      <c r="W64" s="12">
        <v>0.20030000000000001</v>
      </c>
      <c r="X64" s="10">
        <v>825091</v>
      </c>
      <c r="Y64" s="22">
        <f>176558/1765581</f>
        <v>9.9999943361420401E-2</v>
      </c>
      <c r="Z64" s="10">
        <v>178244</v>
      </c>
      <c r="AA64" s="10">
        <v>0</v>
      </c>
      <c r="AB64" s="10">
        <f>9959+357</f>
        <v>10316</v>
      </c>
      <c r="AC64" s="10">
        <v>98253</v>
      </c>
      <c r="AD64" s="10">
        <v>8742</v>
      </c>
      <c r="AE64" s="10">
        <v>6884</v>
      </c>
      <c r="AF64" s="10">
        <f>17500+1807</f>
        <v>19307</v>
      </c>
      <c r="AG64" s="10">
        <v>0</v>
      </c>
      <c r="AH64" s="10">
        <v>6015</v>
      </c>
      <c r="AI64" s="10">
        <v>0</v>
      </c>
      <c r="AJ64" s="10">
        <v>4233</v>
      </c>
      <c r="AK64" s="10">
        <f>6421+7255+5331</f>
        <v>19007</v>
      </c>
      <c r="AL64" s="10">
        <v>250</v>
      </c>
      <c r="AM64" s="10">
        <v>5284</v>
      </c>
      <c r="AN64" s="10">
        <v>21458</v>
      </c>
      <c r="AO64" s="10">
        <v>0</v>
      </c>
      <c r="AP64" s="10">
        <v>194208</v>
      </c>
      <c r="AQ64" s="10">
        <v>233656</v>
      </c>
      <c r="AR64" s="12">
        <f t="shared" si="7"/>
        <v>0</v>
      </c>
      <c r="AS64" s="10">
        <v>0</v>
      </c>
      <c r="AT64" s="10">
        <v>0</v>
      </c>
      <c r="AU64" s="10">
        <v>31545</v>
      </c>
      <c r="AV64" s="10">
        <v>0</v>
      </c>
      <c r="AW64" s="10">
        <v>43492</v>
      </c>
      <c r="AX64" s="10">
        <v>0</v>
      </c>
      <c r="AY64" s="10">
        <v>0</v>
      </c>
      <c r="AZ64" s="10">
        <v>0</v>
      </c>
      <c r="BA64" s="10">
        <v>0</v>
      </c>
      <c r="BB64" s="10">
        <v>786</v>
      </c>
      <c r="BC64" s="10">
        <v>-78</v>
      </c>
      <c r="BD64" s="10">
        <f>623-1</f>
        <v>622</v>
      </c>
      <c r="BE64" s="10">
        <v>-41</v>
      </c>
      <c r="BF64" s="10">
        <v>-99</v>
      </c>
      <c r="BG64" s="10">
        <v>0</v>
      </c>
      <c r="BH64" s="10">
        <v>0</v>
      </c>
      <c r="BI64" s="10">
        <f t="shared" si="8"/>
        <v>1190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 t="s">
        <v>453</v>
      </c>
      <c r="BQ64" s="1" t="s">
        <v>453</v>
      </c>
      <c r="BR64" s="1" t="s">
        <v>453</v>
      </c>
      <c r="BS64" s="1" t="s">
        <v>453</v>
      </c>
      <c r="BT64" s="1" t="s">
        <v>453</v>
      </c>
      <c r="BU64" s="1" t="s">
        <v>453</v>
      </c>
      <c r="BV64" s="1" t="s">
        <v>453</v>
      </c>
      <c r="BW64" s="1" t="s">
        <v>453</v>
      </c>
      <c r="BX64" s="1" t="s">
        <v>453</v>
      </c>
      <c r="BY64" s="1" t="s">
        <v>453</v>
      </c>
    </row>
    <row r="65" spans="1:77">
      <c r="A65" s="1">
        <v>6</v>
      </c>
      <c r="B65" s="1" t="s">
        <v>157</v>
      </c>
      <c r="C65" s="7" t="s">
        <v>326</v>
      </c>
      <c r="D65" s="1" t="s">
        <v>525</v>
      </c>
      <c r="E65" s="1" t="s">
        <v>667</v>
      </c>
      <c r="F65" s="7" t="s">
        <v>205</v>
      </c>
      <c r="G65" s="7" t="s">
        <v>647</v>
      </c>
      <c r="H65" s="10">
        <v>24592955</v>
      </c>
      <c r="I65" s="10">
        <v>24715205</v>
      </c>
      <c r="J65" s="10">
        <v>1060414</v>
      </c>
      <c r="K65" s="48">
        <v>4194</v>
      </c>
      <c r="L65" s="48"/>
      <c r="M65" s="48"/>
      <c r="N65" s="48">
        <v>11565129</v>
      </c>
      <c r="O65" s="48"/>
      <c r="P65" s="48"/>
      <c r="Q65" s="48">
        <v>3120017</v>
      </c>
      <c r="R65" s="10">
        <v>3916513</v>
      </c>
      <c r="S65" s="10">
        <v>2735379</v>
      </c>
      <c r="T65" s="10">
        <v>48803</v>
      </c>
      <c r="U65" s="10">
        <v>0</v>
      </c>
      <c r="V65" s="10">
        <v>23081609</v>
      </c>
      <c r="W65" s="12">
        <v>0.11</v>
      </c>
      <c r="X65" s="10">
        <v>0</v>
      </c>
      <c r="Y65" s="22">
        <f>1698226/22784841</f>
        <v>7.4533151229802308E-2</v>
      </c>
      <c r="Z65" s="10">
        <v>1693314</v>
      </c>
      <c r="AA65" s="10">
        <v>0</v>
      </c>
      <c r="AB65" s="10">
        <f>122250+4701</f>
        <v>126951</v>
      </c>
      <c r="AC65" s="10">
        <v>739179</v>
      </c>
      <c r="AD65" s="10">
        <v>65369</v>
      </c>
      <c r="AE65" s="10">
        <v>121349</v>
      </c>
      <c r="AF65" s="10">
        <f>209468+3969</f>
        <v>213437</v>
      </c>
      <c r="AG65" s="10">
        <v>79234</v>
      </c>
      <c r="AH65" s="10">
        <v>17137</v>
      </c>
      <c r="AI65" s="10">
        <v>2565</v>
      </c>
      <c r="AJ65" s="10">
        <v>20746</v>
      </c>
      <c r="AK65" s="10">
        <f>26158+46032+61474</f>
        <v>133664</v>
      </c>
      <c r="AL65" s="10">
        <v>17379</v>
      </c>
      <c r="AM65" s="10">
        <v>935</v>
      </c>
      <c r="AN65" s="10">
        <v>19335</v>
      </c>
      <c r="AO65" s="10">
        <v>0</v>
      </c>
      <c r="AP65" s="10">
        <v>1647252</v>
      </c>
      <c r="AQ65" s="10">
        <v>1679385</v>
      </c>
      <c r="AR65" s="12">
        <f t="shared" si="7"/>
        <v>0</v>
      </c>
      <c r="AS65" s="10">
        <v>35255</v>
      </c>
      <c r="AT65" s="10">
        <v>0</v>
      </c>
      <c r="AU65" s="10">
        <v>139662</v>
      </c>
      <c r="AV65" s="10">
        <v>0</v>
      </c>
      <c r="AW65" s="10">
        <v>369255</v>
      </c>
      <c r="AX65" s="10">
        <v>89223</v>
      </c>
      <c r="AY65" s="10">
        <v>89223</v>
      </c>
      <c r="AZ65" s="10">
        <v>0</v>
      </c>
      <c r="BA65" s="10">
        <v>5395</v>
      </c>
      <c r="BB65" s="10">
        <v>1831</v>
      </c>
      <c r="BC65" s="10">
        <v>0</v>
      </c>
      <c r="BD65" s="10">
        <f>10+15-9</f>
        <v>16</v>
      </c>
      <c r="BE65" s="10">
        <v>-163</v>
      </c>
      <c r="BF65" s="10">
        <v>-969</v>
      </c>
      <c r="BG65" s="10">
        <v>-780</v>
      </c>
      <c r="BH65" s="10">
        <v>0</v>
      </c>
      <c r="BI65" s="10">
        <f t="shared" si="8"/>
        <v>5330</v>
      </c>
      <c r="BJ65" s="1">
        <v>3</v>
      </c>
      <c r="BK65" s="1">
        <v>50</v>
      </c>
      <c r="BL65" s="1">
        <v>27</v>
      </c>
      <c r="BM65" s="1">
        <v>376</v>
      </c>
      <c r="BN65" s="1">
        <v>17</v>
      </c>
      <c r="BO65" s="1">
        <v>5</v>
      </c>
      <c r="BP65" s="1">
        <v>53</v>
      </c>
      <c r="BQ65" s="1">
        <v>1</v>
      </c>
      <c r="BR65" s="1">
        <v>14</v>
      </c>
      <c r="BS65" s="1">
        <v>6</v>
      </c>
      <c r="BT65" s="1">
        <v>0</v>
      </c>
      <c r="BU65" s="1">
        <v>333</v>
      </c>
      <c r="BV65" s="1">
        <v>8</v>
      </c>
      <c r="BW65" s="1">
        <v>135</v>
      </c>
      <c r="BX65" s="1">
        <v>40</v>
      </c>
      <c r="BY65" s="1">
        <v>3</v>
      </c>
    </row>
    <row r="66" spans="1:77">
      <c r="A66" s="1">
        <v>6</v>
      </c>
      <c r="B66" s="1" t="s">
        <v>271</v>
      </c>
      <c r="C66" s="7" t="s">
        <v>276</v>
      </c>
      <c r="D66" s="1" t="s">
        <v>668</v>
      </c>
      <c r="E66" s="1" t="s">
        <v>667</v>
      </c>
      <c r="F66" s="7" t="s">
        <v>205</v>
      </c>
      <c r="G66" s="7" t="s">
        <v>647</v>
      </c>
      <c r="H66" s="10">
        <v>33592635</v>
      </c>
      <c r="I66" s="10">
        <v>33768655</v>
      </c>
      <c r="J66" s="10">
        <v>1317999</v>
      </c>
      <c r="K66" s="48">
        <v>0</v>
      </c>
      <c r="L66" s="48">
        <v>0</v>
      </c>
      <c r="M66" s="48">
        <v>822757</v>
      </c>
      <c r="N66" s="48">
        <v>19215027</v>
      </c>
      <c r="O66" s="48">
        <v>0</v>
      </c>
      <c r="P66" s="48">
        <v>72033</v>
      </c>
      <c r="Q66" s="48">
        <v>2943587</v>
      </c>
      <c r="R66" s="10">
        <v>3589986</v>
      </c>
      <c r="S66" s="10">
        <v>3584620</v>
      </c>
      <c r="T66" s="10">
        <v>16528</v>
      </c>
      <c r="U66" s="10">
        <v>0</v>
      </c>
      <c r="V66" s="10">
        <v>31917768</v>
      </c>
      <c r="W66" s="12">
        <v>0.14560000000000001</v>
      </c>
      <c r="X66" s="10">
        <v>0</v>
      </c>
      <c r="Y66" s="22">
        <f>1664324/31901940</f>
        <v>5.216999342359744E-2</v>
      </c>
      <c r="Z66" s="10">
        <v>1655393</v>
      </c>
      <c r="AA66" s="10">
        <v>0</v>
      </c>
      <c r="AB66" s="10">
        <f>176020+7597+10604</f>
        <v>194221</v>
      </c>
      <c r="AC66" s="10">
        <v>593537</v>
      </c>
      <c r="AD66" s="10">
        <v>46739</v>
      </c>
      <c r="AE66" s="10">
        <v>103805</v>
      </c>
      <c r="AF66" s="10">
        <v>172868</v>
      </c>
      <c r="AG66" s="10">
        <v>50457</v>
      </c>
      <c r="AH66" s="10">
        <v>91131</v>
      </c>
      <c r="AI66" s="10">
        <v>73578</v>
      </c>
      <c r="AJ66" s="10">
        <v>199129</v>
      </c>
      <c r="AK66" s="10">
        <f>35217+35992+58387</f>
        <v>129596</v>
      </c>
      <c r="AL66" s="10">
        <v>15137</v>
      </c>
      <c r="AM66" s="10">
        <v>75129</v>
      </c>
      <c r="AN66" s="10">
        <v>24392</v>
      </c>
      <c r="AO66" s="10">
        <v>13851</v>
      </c>
      <c r="AP66" s="10">
        <v>1779706</v>
      </c>
      <c r="AQ66" s="10">
        <v>1779706</v>
      </c>
      <c r="AR66" s="12">
        <f t="shared" si="7"/>
        <v>7.7827461389690204E-3</v>
      </c>
      <c r="AS66" s="10">
        <v>14204</v>
      </c>
      <c r="AT66" s="10">
        <v>0</v>
      </c>
      <c r="AU66" s="10">
        <v>139662</v>
      </c>
      <c r="AV66" s="10">
        <v>0</v>
      </c>
      <c r="AW66" s="10">
        <v>216833</v>
      </c>
      <c r="AX66" s="10">
        <v>0</v>
      </c>
      <c r="AY66" s="10">
        <v>0</v>
      </c>
      <c r="AZ66" s="10">
        <v>0</v>
      </c>
      <c r="BA66" s="10">
        <v>7301</v>
      </c>
      <c r="BB66" s="10">
        <v>2558</v>
      </c>
      <c r="BC66" s="10">
        <v>2317</v>
      </c>
      <c r="BD66" s="10">
        <v>-44</v>
      </c>
      <c r="BE66" s="10">
        <v>-341</v>
      </c>
      <c r="BF66" s="10">
        <v>-2110</v>
      </c>
      <c r="BG66" s="10">
        <v>-2446</v>
      </c>
      <c r="BH66" s="10">
        <v>-1</v>
      </c>
      <c r="BI66" s="10">
        <f t="shared" si="8"/>
        <v>7234</v>
      </c>
      <c r="BJ66" s="1">
        <v>1</v>
      </c>
      <c r="BK66" s="1">
        <v>114</v>
      </c>
      <c r="BL66" s="1">
        <v>87</v>
      </c>
      <c r="BM66" s="1">
        <v>938</v>
      </c>
      <c r="BN66" s="1">
        <v>28</v>
      </c>
      <c r="BO66" s="1">
        <v>1</v>
      </c>
      <c r="BP66" s="1" t="s">
        <v>453</v>
      </c>
      <c r="BQ66" s="1" t="s">
        <v>453</v>
      </c>
      <c r="BR66" s="1" t="s">
        <v>453</v>
      </c>
      <c r="BS66" s="1" t="s">
        <v>453</v>
      </c>
      <c r="BT66" s="1" t="s">
        <v>453</v>
      </c>
      <c r="BU66" s="1" t="s">
        <v>453</v>
      </c>
      <c r="BV66" s="1" t="s">
        <v>453</v>
      </c>
      <c r="BW66" s="1" t="s">
        <v>453</v>
      </c>
      <c r="BX66" s="1" t="s">
        <v>453</v>
      </c>
      <c r="BY66" s="1" t="s">
        <v>453</v>
      </c>
    </row>
    <row r="67" spans="1:77">
      <c r="A67" s="1">
        <v>6</v>
      </c>
      <c r="B67" s="3" t="s">
        <v>484</v>
      </c>
      <c r="C67" s="7" t="s">
        <v>684</v>
      </c>
      <c r="D67" s="1" t="s">
        <v>391</v>
      </c>
      <c r="E67" s="1" t="s">
        <v>667</v>
      </c>
      <c r="F67" s="7" t="s">
        <v>478</v>
      </c>
      <c r="G67" s="7" t="s">
        <v>647</v>
      </c>
      <c r="H67" s="10">
        <v>24008829</v>
      </c>
      <c r="I67" s="10">
        <v>24066143</v>
      </c>
      <c r="J67" s="10">
        <v>520531</v>
      </c>
      <c r="K67" s="48">
        <v>0</v>
      </c>
      <c r="L67" s="48">
        <v>449003</v>
      </c>
      <c r="M67" s="48">
        <v>12411264</v>
      </c>
      <c r="N67" s="48">
        <v>0</v>
      </c>
      <c r="O67" s="48">
        <v>0</v>
      </c>
      <c r="P67" s="48">
        <v>1164467</v>
      </c>
      <c r="Q67" s="48">
        <v>0</v>
      </c>
      <c r="R67" s="10">
        <v>5635336</v>
      </c>
      <c r="S67" s="10">
        <v>2353268</v>
      </c>
      <c r="T67" s="10">
        <v>120968</v>
      </c>
      <c r="U67" s="10">
        <v>0</v>
      </c>
      <c r="V67" s="10">
        <v>23664111</v>
      </c>
      <c r="W67" s="12">
        <v>6.9599999999999995E-2</v>
      </c>
      <c r="X67" s="10">
        <v>0</v>
      </c>
      <c r="Y67" s="22">
        <f>1529312/23537955</f>
        <v>6.4972169417436651E-2</v>
      </c>
      <c r="Z67" s="10">
        <v>1529287</v>
      </c>
      <c r="AA67" s="10">
        <v>7221</v>
      </c>
      <c r="AB67" s="10">
        <f>52186+5317+4708</f>
        <v>62211</v>
      </c>
      <c r="AC67" s="10">
        <v>761817</v>
      </c>
      <c r="AD67" s="10">
        <v>59187</v>
      </c>
      <c r="AE67" s="10">
        <v>117410</v>
      </c>
      <c r="AF67" s="10">
        <v>106549</v>
      </c>
      <c r="AG67" s="10">
        <v>44046</v>
      </c>
      <c r="AH67" s="10">
        <v>42951</v>
      </c>
      <c r="AI67" s="10">
        <v>1579</v>
      </c>
      <c r="AJ67" s="10">
        <v>62887</v>
      </c>
      <c r="AK67" s="10">
        <f>42638+22211+55559</f>
        <v>120408</v>
      </c>
      <c r="AL67" s="10">
        <v>9579</v>
      </c>
      <c r="AM67" s="10">
        <v>45604</v>
      </c>
      <c r="AN67" s="10">
        <v>70783</v>
      </c>
      <c r="AO67" s="10">
        <v>0</v>
      </c>
      <c r="AP67" s="10">
        <v>1593071</v>
      </c>
      <c r="AQ67" s="10">
        <v>1625652</v>
      </c>
      <c r="AR67" s="12">
        <f t="shared" si="7"/>
        <v>0</v>
      </c>
      <c r="AS67" s="10">
        <v>1346</v>
      </c>
      <c r="AT67" s="10">
        <v>0</v>
      </c>
      <c r="AU67" s="10">
        <v>139662</v>
      </c>
      <c r="AV67" s="10">
        <v>0</v>
      </c>
      <c r="AW67" s="10">
        <v>192786</v>
      </c>
      <c r="AX67" s="10">
        <v>0</v>
      </c>
      <c r="AY67" s="10">
        <v>0</v>
      </c>
      <c r="AZ67" s="10">
        <v>0</v>
      </c>
      <c r="BA67" s="10">
        <v>5212</v>
      </c>
      <c r="BB67" s="10">
        <v>1813</v>
      </c>
      <c r="BC67" s="10">
        <v>0</v>
      </c>
      <c r="BD67" s="10">
        <f>3-2</f>
        <v>1</v>
      </c>
      <c r="BE67" s="10">
        <v>-283</v>
      </c>
      <c r="BF67" s="10">
        <v>-810</v>
      </c>
      <c r="BG67" s="10">
        <v>-383</v>
      </c>
      <c r="BH67" s="10">
        <v>-2</v>
      </c>
      <c r="BI67" s="10">
        <f t="shared" si="8"/>
        <v>5548</v>
      </c>
      <c r="BJ67" s="1">
        <v>0</v>
      </c>
      <c r="BK67" s="1">
        <v>159</v>
      </c>
      <c r="BL67" s="1">
        <v>29</v>
      </c>
      <c r="BM67" s="1">
        <v>186</v>
      </c>
      <c r="BN67" s="1">
        <v>9</v>
      </c>
      <c r="BO67" s="1">
        <v>0</v>
      </c>
      <c r="BP67" s="1">
        <v>33</v>
      </c>
      <c r="BQ67" s="1">
        <v>21</v>
      </c>
      <c r="BR67" s="1">
        <v>84</v>
      </c>
      <c r="BS67" s="1">
        <v>15</v>
      </c>
      <c r="BT67" s="1">
        <v>0</v>
      </c>
      <c r="BU67" s="1">
        <v>55</v>
      </c>
      <c r="BV67" s="1">
        <v>24</v>
      </c>
      <c r="BW67" s="1">
        <v>145</v>
      </c>
      <c r="BX67" s="1">
        <v>42</v>
      </c>
      <c r="BY67" s="1">
        <v>0</v>
      </c>
    </row>
    <row r="68" spans="1:77">
      <c r="A68" s="1">
        <v>6</v>
      </c>
      <c r="B68" s="1" t="s">
        <v>530</v>
      </c>
      <c r="C68" s="1" t="s">
        <v>648</v>
      </c>
      <c r="D68" s="1" t="s">
        <v>164</v>
      </c>
      <c r="E68" s="1" t="s">
        <v>667</v>
      </c>
      <c r="F68" s="7" t="s">
        <v>478</v>
      </c>
      <c r="G68" s="7" t="s">
        <v>647</v>
      </c>
      <c r="H68" s="10">
        <v>51501241</v>
      </c>
      <c r="I68" s="10">
        <v>51932274</v>
      </c>
      <c r="J68" s="10">
        <v>2365918</v>
      </c>
      <c r="K68" s="48">
        <v>0</v>
      </c>
      <c r="L68" s="48" t="s">
        <v>455</v>
      </c>
      <c r="M68" s="48" t="s">
        <v>455</v>
      </c>
      <c r="N68" s="48">
        <v>26278726</v>
      </c>
      <c r="O68" s="48">
        <v>0</v>
      </c>
      <c r="P68" s="48">
        <v>0</v>
      </c>
      <c r="Q68" s="48">
        <v>8761846</v>
      </c>
      <c r="R68" s="10">
        <v>8657365</v>
      </c>
      <c r="S68" s="10">
        <v>4647229</v>
      </c>
      <c r="T68" s="10">
        <v>0</v>
      </c>
      <c r="U68" s="10">
        <v>154502</v>
      </c>
      <c r="V68" s="10">
        <v>51158890</v>
      </c>
      <c r="W68" s="12">
        <v>0.08</v>
      </c>
      <c r="X68" s="10">
        <v>0</v>
      </c>
      <c r="Y68" s="22">
        <f>2658342/51003731</f>
        <v>5.2120539965987978E-2</v>
      </c>
      <c r="Z68" s="10">
        <v>2658561</v>
      </c>
      <c r="AA68" s="10">
        <v>0</v>
      </c>
      <c r="AB68" s="10">
        <f>431033+780</f>
        <v>431813</v>
      </c>
      <c r="AC68" s="10">
        <v>1349839</v>
      </c>
      <c r="AD68" s="10">
        <v>108308</v>
      </c>
      <c r="AE68" s="10">
        <v>248092</v>
      </c>
      <c r="AF68" s="10">
        <f>335632+36303</f>
        <v>371935</v>
      </c>
      <c r="AG68" s="10">
        <v>67873</v>
      </c>
      <c r="AH68" s="10">
        <v>3494</v>
      </c>
      <c r="AI68" s="10">
        <v>3443</v>
      </c>
      <c r="AJ68" s="10">
        <v>0</v>
      </c>
      <c r="AK68" s="10">
        <f>36372+170566+89384</f>
        <v>296322</v>
      </c>
      <c r="AL68" s="10">
        <v>34393</v>
      </c>
      <c r="AM68" s="10">
        <v>1693</v>
      </c>
      <c r="AN68" s="10">
        <v>205520</v>
      </c>
      <c r="AO68" s="10">
        <v>0</v>
      </c>
      <c r="AP68" s="10">
        <v>3173552</v>
      </c>
      <c r="AQ68" s="10">
        <v>3222179</v>
      </c>
      <c r="AR68" s="12">
        <f t="shared" si="7"/>
        <v>0</v>
      </c>
      <c r="AS68" s="10">
        <v>19445</v>
      </c>
      <c r="AT68" s="10">
        <v>0</v>
      </c>
      <c r="AU68" s="10">
        <v>139662</v>
      </c>
      <c r="AV68" s="10">
        <v>0</v>
      </c>
      <c r="AW68" s="10">
        <v>394276</v>
      </c>
      <c r="AX68" s="10">
        <v>0</v>
      </c>
      <c r="AY68" s="10">
        <v>0</v>
      </c>
      <c r="AZ68" s="10">
        <v>0</v>
      </c>
      <c r="BA68" s="10">
        <v>10767</v>
      </c>
      <c r="BB68" s="10">
        <v>3999</v>
      </c>
      <c r="BC68" s="1" t="s">
        <v>453</v>
      </c>
      <c r="BD68" s="10">
        <f>5+40-9</f>
        <v>36</v>
      </c>
      <c r="BE68" s="10">
        <v>-416</v>
      </c>
      <c r="BF68" s="10">
        <v>-2890</v>
      </c>
      <c r="BG68" s="10">
        <v>-1415</v>
      </c>
      <c r="BH68" s="10">
        <v>0</v>
      </c>
      <c r="BI68" s="10">
        <f t="shared" si="8"/>
        <v>10081</v>
      </c>
      <c r="BJ68" s="1">
        <v>19</v>
      </c>
      <c r="BK68" s="1">
        <v>406</v>
      </c>
      <c r="BL68" s="3">
        <v>94</v>
      </c>
      <c r="BM68" s="1">
        <v>907</v>
      </c>
      <c r="BN68" s="1">
        <v>7</v>
      </c>
      <c r="BO68" s="1">
        <v>29</v>
      </c>
      <c r="BP68" s="1" t="s">
        <v>453</v>
      </c>
      <c r="BQ68" s="1" t="s">
        <v>453</v>
      </c>
      <c r="BR68" s="1" t="s">
        <v>453</v>
      </c>
      <c r="BS68" s="1" t="s">
        <v>453</v>
      </c>
      <c r="BT68" s="1" t="s">
        <v>453</v>
      </c>
      <c r="BU68" s="1" t="s">
        <v>453</v>
      </c>
      <c r="BV68" s="1" t="s">
        <v>453</v>
      </c>
      <c r="BW68" s="1" t="s">
        <v>453</v>
      </c>
      <c r="BX68" s="1" t="s">
        <v>453</v>
      </c>
      <c r="BY68" s="1" t="s">
        <v>453</v>
      </c>
    </row>
    <row r="69" spans="1:77">
      <c r="A69" s="1">
        <v>6</v>
      </c>
      <c r="B69" s="1" t="s">
        <v>662</v>
      </c>
      <c r="C69" s="7" t="s">
        <v>649</v>
      </c>
      <c r="D69" s="1" t="s">
        <v>243</v>
      </c>
      <c r="E69" s="1" t="s">
        <v>667</v>
      </c>
      <c r="F69" s="7" t="s">
        <v>478</v>
      </c>
      <c r="G69" s="7" t="s">
        <v>647</v>
      </c>
      <c r="H69" s="10">
        <v>36722174</v>
      </c>
      <c r="I69" s="10">
        <v>36895104</v>
      </c>
      <c r="J69" s="10">
        <v>745733</v>
      </c>
      <c r="K69" s="48">
        <v>0</v>
      </c>
      <c r="L69" s="2">
        <v>2711459</v>
      </c>
      <c r="M69" s="33">
        <v>0</v>
      </c>
      <c r="N69" s="48">
        <v>14889709</v>
      </c>
      <c r="O69" s="48">
        <v>0</v>
      </c>
      <c r="P69" s="33">
        <v>0</v>
      </c>
      <c r="Q69" s="48">
        <v>5901432</v>
      </c>
      <c r="R69" s="10">
        <v>6142867</v>
      </c>
      <c r="S69" s="10">
        <v>4128345</v>
      </c>
      <c r="T69" s="10">
        <v>0</v>
      </c>
      <c r="U69" s="10">
        <v>168608</v>
      </c>
      <c r="V69" s="10">
        <v>36191084</v>
      </c>
      <c r="W69" s="12">
        <v>5.3999999999999999E-2</v>
      </c>
      <c r="X69" s="10">
        <v>0</v>
      </c>
      <c r="Y69" s="22">
        <f>2248386/35971434</f>
        <v>6.2504764197057028E-2</v>
      </c>
      <c r="Z69" s="10">
        <v>2248663</v>
      </c>
      <c r="AA69" s="10">
        <v>0</v>
      </c>
      <c r="AB69" s="10">
        <f>152186+16913+4096</f>
        <v>173195</v>
      </c>
      <c r="AC69" s="10">
        <v>1035593</v>
      </c>
      <c r="AD69" s="10">
        <v>81915</v>
      </c>
      <c r="AE69" s="10">
        <v>178619</v>
      </c>
      <c r="AF69" s="10">
        <v>237398</v>
      </c>
      <c r="AG69" s="10">
        <v>44000</v>
      </c>
      <c r="AH69" s="10">
        <v>30173</v>
      </c>
      <c r="AI69" s="10">
        <v>50478</v>
      </c>
      <c r="AJ69" s="10">
        <v>180800</v>
      </c>
      <c r="AK69" s="10">
        <f>42435+40339+59186</f>
        <v>141960</v>
      </c>
      <c r="AL69" s="10">
        <v>26134</v>
      </c>
      <c r="AM69" s="10">
        <v>51290</v>
      </c>
      <c r="AN69" s="10">
        <v>88645</v>
      </c>
      <c r="AO69" s="10">
        <v>26607</v>
      </c>
      <c r="AP69" s="10">
        <v>2398477</v>
      </c>
      <c r="AQ69" s="10">
        <v>2545233</v>
      </c>
      <c r="AR69" s="12">
        <f t="shared" ref="AR69:AR100" si="9">AO69/AP69</f>
        <v>1.10932896167026E-2</v>
      </c>
      <c r="AS69" s="10">
        <v>1922</v>
      </c>
      <c r="AT69" s="10">
        <v>0</v>
      </c>
      <c r="AU69" s="10">
        <v>139757</v>
      </c>
      <c r="AV69" s="10">
        <f>AU69-139662</f>
        <v>95</v>
      </c>
      <c r="AW69" s="10">
        <v>419948</v>
      </c>
      <c r="AX69" s="10">
        <v>12207</v>
      </c>
      <c r="AY69" s="10">
        <f>12207+95</f>
        <v>12302</v>
      </c>
      <c r="AZ69" s="10">
        <v>0</v>
      </c>
      <c r="BA69" s="10">
        <v>7589</v>
      </c>
      <c r="BB69" s="10">
        <v>3426</v>
      </c>
      <c r="BC69" s="1" t="s">
        <v>453</v>
      </c>
      <c r="BD69" s="10">
        <f>40-2+464</f>
        <v>502</v>
      </c>
      <c r="BE69" s="10">
        <v>-186</v>
      </c>
      <c r="BF69" s="10">
        <v>-1776</v>
      </c>
      <c r="BG69" s="10">
        <v>-1122</v>
      </c>
      <c r="BH69" s="10">
        <v>-1</v>
      </c>
      <c r="BI69" s="10">
        <f t="shared" si="8"/>
        <v>8432</v>
      </c>
      <c r="BJ69" s="1">
        <v>0</v>
      </c>
      <c r="BK69" s="1">
        <v>172</v>
      </c>
      <c r="BL69" s="1">
        <v>85</v>
      </c>
      <c r="BM69" s="1">
        <v>824</v>
      </c>
      <c r="BN69" s="1">
        <v>17</v>
      </c>
      <c r="BO69" s="1">
        <v>35</v>
      </c>
      <c r="BP69" s="1">
        <v>4</v>
      </c>
      <c r="BQ69" s="1">
        <v>7</v>
      </c>
      <c r="BR69" s="1">
        <v>51</v>
      </c>
      <c r="BS69" s="1">
        <v>474</v>
      </c>
      <c r="BT69" s="1">
        <v>19</v>
      </c>
      <c r="BU69" s="1">
        <v>0</v>
      </c>
      <c r="BV69" s="1">
        <v>2</v>
      </c>
      <c r="BW69" s="1">
        <v>17</v>
      </c>
      <c r="BX69" s="1">
        <v>57</v>
      </c>
      <c r="BY69" s="1">
        <v>1</v>
      </c>
    </row>
    <row r="70" spans="1:77">
      <c r="A70" s="1">
        <v>6</v>
      </c>
      <c r="B70" s="1" t="s">
        <v>707</v>
      </c>
      <c r="C70" s="7" t="s">
        <v>565</v>
      </c>
      <c r="D70" s="1" t="s">
        <v>391</v>
      </c>
      <c r="E70" s="1" t="s">
        <v>667</v>
      </c>
      <c r="F70" s="7" t="s">
        <v>478</v>
      </c>
      <c r="G70" s="7" t="s">
        <v>647</v>
      </c>
      <c r="H70" s="10">
        <v>8752276</v>
      </c>
      <c r="I70" s="10">
        <v>8769090</v>
      </c>
      <c r="J70" s="10">
        <v>195218</v>
      </c>
      <c r="K70" s="48">
        <v>0</v>
      </c>
      <c r="L70" s="48">
        <v>265812</v>
      </c>
      <c r="M70" s="48">
        <v>4441675</v>
      </c>
      <c r="N70" s="48">
        <v>0</v>
      </c>
      <c r="O70" s="48">
        <v>0</v>
      </c>
      <c r="P70" s="48">
        <v>382310</v>
      </c>
      <c r="Q70" s="48">
        <v>0</v>
      </c>
      <c r="R70" s="10">
        <v>2212791</v>
      </c>
      <c r="S70" s="10">
        <v>665421</v>
      </c>
      <c r="T70" s="10">
        <v>0</v>
      </c>
      <c r="U70" s="10">
        <v>31378</v>
      </c>
      <c r="V70" s="10">
        <v>8617594</v>
      </c>
      <c r="W70" s="12">
        <v>2.5233999999999999E-2</v>
      </c>
      <c r="X70" s="10">
        <v>0</v>
      </c>
      <c r="Y70" s="22">
        <f>618208/8586216</f>
        <v>7.2000052176651508E-2</v>
      </c>
      <c r="Z70" s="10">
        <v>618207</v>
      </c>
      <c r="AA70" s="10">
        <v>0</v>
      </c>
      <c r="AB70" s="10">
        <f>15478+1436+1828</f>
        <v>18742</v>
      </c>
      <c r="AC70" s="10">
        <v>197461</v>
      </c>
      <c r="AD70" s="10">
        <v>16175</v>
      </c>
      <c r="AE70" s="10">
        <v>25049</v>
      </c>
      <c r="AF70" s="10">
        <v>46710</v>
      </c>
      <c r="AG70" s="10">
        <v>34978</v>
      </c>
      <c r="AH70" s="10">
        <v>14817</v>
      </c>
      <c r="AI70" s="10">
        <v>909</v>
      </c>
      <c r="AJ70" s="10">
        <v>26087</v>
      </c>
      <c r="AK70" s="10">
        <f>5506+22394+16943</f>
        <v>44843</v>
      </c>
      <c r="AL70" s="10">
        <v>9564</v>
      </c>
      <c r="AM70" s="10">
        <v>1214</v>
      </c>
      <c r="AN70" s="10">
        <v>35865</v>
      </c>
      <c r="AO70" s="10">
        <v>0</v>
      </c>
      <c r="AP70" s="10">
        <v>515452</v>
      </c>
      <c r="AQ70" s="10">
        <v>551423</v>
      </c>
      <c r="AR70" s="12">
        <f t="shared" si="9"/>
        <v>0</v>
      </c>
      <c r="AS70" s="10">
        <v>657</v>
      </c>
      <c r="AT70" s="10">
        <v>0</v>
      </c>
      <c r="AU70" s="10">
        <v>139662</v>
      </c>
      <c r="AV70" s="10">
        <v>0</v>
      </c>
      <c r="AW70" s="10">
        <v>80347</v>
      </c>
      <c r="AX70" s="10">
        <v>0</v>
      </c>
      <c r="AY70" s="10">
        <v>0</v>
      </c>
      <c r="AZ70" s="10">
        <v>0</v>
      </c>
      <c r="BA70" s="10">
        <v>1846</v>
      </c>
      <c r="BB70" s="10">
        <v>441</v>
      </c>
      <c r="BC70" s="10">
        <v>3</v>
      </c>
      <c r="BD70" s="10">
        <f>0+3-2</f>
        <v>1</v>
      </c>
      <c r="BE70" s="10">
        <v>-83</v>
      </c>
      <c r="BF70" s="10">
        <v>-188</v>
      </c>
      <c r="BG70" s="10">
        <v>-244</v>
      </c>
      <c r="BH70" s="10">
        <v>0</v>
      </c>
      <c r="BI70" s="10">
        <f t="shared" si="8"/>
        <v>1776</v>
      </c>
      <c r="BJ70" s="1">
        <v>0</v>
      </c>
      <c r="BK70" s="1">
        <v>121</v>
      </c>
      <c r="BL70" s="1">
        <v>37</v>
      </c>
      <c r="BM70" s="1">
        <v>82</v>
      </c>
      <c r="BN70" s="1">
        <v>0</v>
      </c>
      <c r="BO70" s="1">
        <v>4</v>
      </c>
      <c r="BP70" s="1">
        <v>0</v>
      </c>
      <c r="BQ70" s="1">
        <v>3</v>
      </c>
      <c r="BR70" s="1">
        <v>41</v>
      </c>
      <c r="BS70" s="1">
        <v>18</v>
      </c>
      <c r="BT70" s="1">
        <v>0</v>
      </c>
      <c r="BU70" s="1">
        <v>3</v>
      </c>
      <c r="BV70" s="1">
        <v>7</v>
      </c>
      <c r="BW70" s="1">
        <v>38</v>
      </c>
      <c r="BX70" s="1">
        <v>58</v>
      </c>
      <c r="BY70" s="1">
        <v>4</v>
      </c>
    </row>
    <row r="71" spans="1:77">
      <c r="A71" s="1">
        <v>7</v>
      </c>
      <c r="B71" s="1" t="s">
        <v>84</v>
      </c>
      <c r="C71" s="7" t="s">
        <v>133</v>
      </c>
      <c r="D71" s="1" t="s">
        <v>155</v>
      </c>
      <c r="E71" s="1" t="s">
        <v>667</v>
      </c>
      <c r="F71" s="7" t="s">
        <v>617</v>
      </c>
      <c r="G71" s="7" t="s">
        <v>647</v>
      </c>
      <c r="H71" s="10">
        <v>24880666</v>
      </c>
      <c r="I71" s="10">
        <v>25017856</v>
      </c>
      <c r="J71" s="10">
        <v>738937</v>
      </c>
      <c r="K71" s="48">
        <v>19541</v>
      </c>
      <c r="L71" s="48">
        <v>1239651</v>
      </c>
      <c r="M71" s="48">
        <v>53898</v>
      </c>
      <c r="N71" s="48">
        <v>13431597</v>
      </c>
      <c r="O71" s="48">
        <v>0</v>
      </c>
      <c r="P71" s="48">
        <v>0</v>
      </c>
      <c r="Q71" s="48">
        <v>2012140</v>
      </c>
      <c r="R71" s="10">
        <v>3267164</v>
      </c>
      <c r="S71" s="10">
        <v>3031230</v>
      </c>
      <c r="T71" s="10">
        <v>0</v>
      </c>
      <c r="U71" s="10">
        <v>0</v>
      </c>
      <c r="V71" s="10">
        <v>24792996</v>
      </c>
      <c r="W71" s="12">
        <v>6.8000000000000005E-2</v>
      </c>
      <c r="X71" s="10">
        <v>0</v>
      </c>
      <c r="Y71" s="22">
        <f>1735303/24790036</f>
        <v>7.0000019362618113E-2</v>
      </c>
      <c r="Z71" s="10">
        <v>1734815</v>
      </c>
      <c r="AA71" s="10">
        <v>0</v>
      </c>
      <c r="AB71" s="10">
        <f>123601+10317+9364</f>
        <v>143282</v>
      </c>
      <c r="AC71" s="10">
        <v>863472</v>
      </c>
      <c r="AD71" s="10">
        <v>66867</v>
      </c>
      <c r="AE71" s="10">
        <v>239672</v>
      </c>
      <c r="AF71" s="10">
        <v>101868</v>
      </c>
      <c r="AG71" s="10">
        <v>39000</v>
      </c>
      <c r="AH71" s="10">
        <v>21405</v>
      </c>
      <c r="AI71" s="10">
        <v>49096</v>
      </c>
      <c r="AJ71" s="10">
        <v>82412</v>
      </c>
      <c r="AK71" s="10">
        <f>23349+18359+52455</f>
        <v>94163</v>
      </c>
      <c r="AL71" s="10">
        <v>18184</v>
      </c>
      <c r="AM71" s="10">
        <v>359</v>
      </c>
      <c r="AN71" s="10">
        <v>53648</v>
      </c>
      <c r="AO71" s="10">
        <v>74320</v>
      </c>
      <c r="AP71" s="10">
        <v>1780346</v>
      </c>
      <c r="AQ71" s="10">
        <v>1811374</v>
      </c>
      <c r="AR71" s="12">
        <f t="shared" si="9"/>
        <v>4.1744694570605936E-2</v>
      </c>
      <c r="AS71" s="10">
        <v>891</v>
      </c>
      <c r="AT71" s="10">
        <v>0</v>
      </c>
      <c r="AU71" s="10">
        <v>139662</v>
      </c>
      <c r="AV71" s="10">
        <v>0</v>
      </c>
      <c r="AW71" s="10">
        <v>172127</v>
      </c>
      <c r="AX71" s="10">
        <v>0</v>
      </c>
      <c r="AY71" s="10">
        <v>0</v>
      </c>
      <c r="AZ71" s="10">
        <v>0</v>
      </c>
      <c r="BA71" s="10">
        <v>6225</v>
      </c>
      <c r="BB71" s="10">
        <v>2117</v>
      </c>
      <c r="BC71" s="10">
        <v>0</v>
      </c>
      <c r="BD71" s="10">
        <v>24</v>
      </c>
      <c r="BE71" s="10">
        <v>-274</v>
      </c>
      <c r="BF71" s="10">
        <v>-1272</v>
      </c>
      <c r="BG71" s="10">
        <v>-581</v>
      </c>
      <c r="BH71" s="10">
        <v>0</v>
      </c>
      <c r="BI71" s="10">
        <f t="shared" si="8"/>
        <v>6239</v>
      </c>
      <c r="BJ71" s="1">
        <v>45</v>
      </c>
      <c r="BK71" s="1">
        <v>148</v>
      </c>
      <c r="BL71" s="1">
        <v>80</v>
      </c>
      <c r="BM71" s="1">
        <v>334</v>
      </c>
      <c r="BN71" s="1">
        <v>2</v>
      </c>
      <c r="BO71" s="1">
        <v>17</v>
      </c>
      <c r="BP71" s="1">
        <v>3</v>
      </c>
      <c r="BQ71" s="1">
        <v>3</v>
      </c>
      <c r="BR71" s="1">
        <v>50</v>
      </c>
      <c r="BS71" s="1">
        <v>145</v>
      </c>
      <c r="BT71" s="1">
        <v>3</v>
      </c>
      <c r="BU71" s="1">
        <v>8</v>
      </c>
      <c r="BV71" s="1">
        <v>12</v>
      </c>
      <c r="BW71" s="1">
        <v>86</v>
      </c>
      <c r="BX71" s="1">
        <v>625</v>
      </c>
      <c r="BY71" s="1">
        <v>49</v>
      </c>
    </row>
    <row r="72" spans="1:77">
      <c r="A72" s="1">
        <v>7</v>
      </c>
      <c r="B72" s="1" t="s">
        <v>88</v>
      </c>
      <c r="C72" s="7" t="s">
        <v>522</v>
      </c>
      <c r="D72" s="1" t="s">
        <v>210</v>
      </c>
      <c r="E72" s="1" t="s">
        <v>667</v>
      </c>
      <c r="F72" s="7" t="s">
        <v>695</v>
      </c>
      <c r="G72" s="7" t="s">
        <v>647</v>
      </c>
      <c r="H72" s="10">
        <v>21798336</v>
      </c>
      <c r="I72" s="10">
        <v>21822380</v>
      </c>
      <c r="J72" s="10">
        <v>461203</v>
      </c>
      <c r="K72" s="48">
        <v>0</v>
      </c>
      <c r="L72" s="48">
        <v>0</v>
      </c>
      <c r="M72" s="48">
        <v>8750506</v>
      </c>
      <c r="N72" s="48">
        <v>0</v>
      </c>
      <c r="O72" s="48">
        <v>0</v>
      </c>
      <c r="P72" s="48">
        <v>1263824</v>
      </c>
      <c r="Q72" s="48">
        <v>0</v>
      </c>
      <c r="R72" s="10">
        <v>7497266</v>
      </c>
      <c r="S72" s="10">
        <v>2303671</v>
      </c>
      <c r="T72" s="10">
        <v>0</v>
      </c>
      <c r="U72" s="10">
        <v>116856</v>
      </c>
      <c r="V72" s="10">
        <v>21270203</v>
      </c>
      <c r="W72" s="12">
        <v>3.1300000000000001E-2</v>
      </c>
      <c r="X72" s="10">
        <v>0</v>
      </c>
      <c r="Y72" s="22">
        <f>1144744/21153347</f>
        <v>5.4116447860473336E-2</v>
      </c>
      <c r="Z72" s="10">
        <v>1144564</v>
      </c>
      <c r="AA72" s="10">
        <v>0</v>
      </c>
      <c r="AB72" s="10">
        <f>24044+556</f>
        <v>24600</v>
      </c>
      <c r="AC72" s="10">
        <v>409932</v>
      </c>
      <c r="AD72" s="10">
        <v>29947</v>
      </c>
      <c r="AE72" s="10">
        <v>187867</v>
      </c>
      <c r="AF72" s="10">
        <f>54117+10029</f>
        <v>64146</v>
      </c>
      <c r="AG72" s="10">
        <v>12362</v>
      </c>
      <c r="AH72" s="10">
        <v>40085</v>
      </c>
      <c r="AI72" s="10">
        <v>7200</v>
      </c>
      <c r="AJ72" s="10">
        <v>63058</v>
      </c>
      <c r="AK72" s="10">
        <f>15573+61455+73272</f>
        <v>150300</v>
      </c>
      <c r="AL72" s="10">
        <v>13700</v>
      </c>
      <c r="AM72" s="10">
        <v>5641</v>
      </c>
      <c r="AN72" s="10">
        <v>55961</v>
      </c>
      <c r="AO72" s="10">
        <v>106622</v>
      </c>
      <c r="AP72" s="10">
        <v>1151998</v>
      </c>
      <c r="AQ72" s="10">
        <v>1141689</v>
      </c>
      <c r="AR72" s="12">
        <f t="shared" si="9"/>
        <v>9.2553980128437727E-2</v>
      </c>
      <c r="AS72" s="10">
        <v>0</v>
      </c>
      <c r="AT72" s="10">
        <v>0</v>
      </c>
      <c r="AU72" s="10">
        <v>139503</v>
      </c>
      <c r="AV72" s="10">
        <v>0</v>
      </c>
      <c r="AW72" s="10">
        <v>108737</v>
      </c>
      <c r="AX72" s="10">
        <v>0</v>
      </c>
      <c r="AY72" s="10">
        <v>0</v>
      </c>
      <c r="AZ72" s="10">
        <v>0</v>
      </c>
      <c r="BA72" s="10">
        <v>5476</v>
      </c>
      <c r="BB72" s="10">
        <v>1947</v>
      </c>
      <c r="BC72" s="10">
        <v>0</v>
      </c>
      <c r="BD72" s="10">
        <v>0</v>
      </c>
      <c r="BE72" s="10">
        <v>-166</v>
      </c>
      <c r="BF72" s="10">
        <v>-724</v>
      </c>
      <c r="BG72" s="10">
        <v>-672</v>
      </c>
      <c r="BH72" s="10">
        <v>0</v>
      </c>
      <c r="BI72" s="10">
        <f t="shared" si="8"/>
        <v>5861</v>
      </c>
      <c r="BJ72" s="1">
        <v>0</v>
      </c>
      <c r="BK72" s="1">
        <v>235</v>
      </c>
      <c r="BL72" s="1">
        <v>139</v>
      </c>
      <c r="BM72" s="1">
        <v>243</v>
      </c>
      <c r="BN72" s="1">
        <v>6</v>
      </c>
      <c r="BO72" s="1">
        <v>49</v>
      </c>
      <c r="BP72" s="1" t="s">
        <v>453</v>
      </c>
      <c r="BQ72" s="1" t="s">
        <v>453</v>
      </c>
      <c r="BR72" s="1" t="s">
        <v>453</v>
      </c>
      <c r="BS72" s="1" t="s">
        <v>453</v>
      </c>
      <c r="BT72" s="1" t="s">
        <v>453</v>
      </c>
      <c r="BU72" s="1" t="s">
        <v>453</v>
      </c>
      <c r="BV72" s="1" t="s">
        <v>453</v>
      </c>
      <c r="BW72" s="1" t="s">
        <v>453</v>
      </c>
      <c r="BX72" s="1" t="s">
        <v>453</v>
      </c>
      <c r="BY72" s="1" t="s">
        <v>453</v>
      </c>
    </row>
    <row r="73" spans="1:77">
      <c r="A73" s="1">
        <v>7</v>
      </c>
      <c r="B73" s="1" t="s">
        <v>288</v>
      </c>
      <c r="C73" s="7" t="s">
        <v>703</v>
      </c>
      <c r="D73" s="1" t="s">
        <v>299</v>
      </c>
      <c r="E73" s="1" t="s">
        <v>667</v>
      </c>
      <c r="F73" s="7" t="s">
        <v>617</v>
      </c>
      <c r="G73" s="7" t="s">
        <v>647</v>
      </c>
      <c r="H73" s="10">
        <v>21038175</v>
      </c>
      <c r="I73" s="10">
        <v>21120702</v>
      </c>
      <c r="J73" s="10">
        <v>478749</v>
      </c>
      <c r="K73" s="48">
        <v>0</v>
      </c>
      <c r="L73" s="48">
        <v>2714069</v>
      </c>
      <c r="M73" s="48">
        <v>0</v>
      </c>
      <c r="N73" s="48">
        <v>8162094</v>
      </c>
      <c r="O73" s="48">
        <v>0</v>
      </c>
      <c r="P73" s="48">
        <v>0</v>
      </c>
      <c r="Q73" s="48">
        <v>3351959</v>
      </c>
      <c r="R73" s="10">
        <v>2821068</v>
      </c>
      <c r="S73" s="10">
        <v>1740355</v>
      </c>
      <c r="T73" s="10">
        <v>2790</v>
      </c>
      <c r="U73" s="10">
        <v>0</v>
      </c>
      <c r="V73" s="10">
        <v>20425914</v>
      </c>
      <c r="W73" s="12">
        <v>7.0000000000000007E-2</v>
      </c>
      <c r="X73" s="10">
        <v>0</v>
      </c>
      <c r="Y73" s="22">
        <f>1574531/20316533</f>
        <v>7.749998486454357E-2</v>
      </c>
      <c r="Z73" s="10">
        <v>1575288</v>
      </c>
      <c r="AA73" s="10">
        <v>0</v>
      </c>
      <c r="AB73" s="10">
        <f>82527+2039</f>
        <v>84566</v>
      </c>
      <c r="AC73" s="10">
        <v>754881</v>
      </c>
      <c r="AD73" s="10">
        <v>61228</v>
      </c>
      <c r="AE73" s="10">
        <v>175386</v>
      </c>
      <c r="AF73" s="10">
        <v>132143</v>
      </c>
      <c r="AG73" s="10">
        <v>0</v>
      </c>
      <c r="AH73" s="10">
        <v>22490</v>
      </c>
      <c r="AI73" s="10">
        <v>65812</v>
      </c>
      <c r="AJ73" s="10">
        <v>0</v>
      </c>
      <c r="AK73" s="10">
        <f>21566+64110+41044</f>
        <v>126720</v>
      </c>
      <c r="AL73" s="10">
        <v>15465</v>
      </c>
      <c r="AM73" s="10">
        <v>11138</v>
      </c>
      <c r="AN73" s="10">
        <v>65935</v>
      </c>
      <c r="AO73" s="10">
        <v>78144</v>
      </c>
      <c r="AP73" s="10">
        <v>1575914</v>
      </c>
      <c r="AQ73" s="10">
        <v>1596770</v>
      </c>
      <c r="AR73" s="12">
        <f t="shared" si="9"/>
        <v>4.9586462205424918E-2</v>
      </c>
      <c r="AS73" s="10">
        <v>0</v>
      </c>
      <c r="AT73" s="10">
        <v>0</v>
      </c>
      <c r="AU73" s="10">
        <v>139660</v>
      </c>
      <c r="AV73" s="10">
        <v>0</v>
      </c>
      <c r="AW73" s="10">
        <v>166396</v>
      </c>
      <c r="AX73" s="10">
        <v>0</v>
      </c>
      <c r="AY73" s="10">
        <v>0</v>
      </c>
      <c r="AZ73" s="10">
        <v>0</v>
      </c>
      <c r="BA73" s="10">
        <v>4429</v>
      </c>
      <c r="BB73" s="10">
        <v>2282</v>
      </c>
      <c r="BC73" s="10">
        <v>0</v>
      </c>
      <c r="BD73" s="10">
        <v>-2</v>
      </c>
      <c r="BE73" s="10">
        <v>-219</v>
      </c>
      <c r="BF73" s="10">
        <v>-1339</v>
      </c>
      <c r="BG73" s="10">
        <v>-633</v>
      </c>
      <c r="BH73" s="10">
        <v>-3</v>
      </c>
      <c r="BI73" s="10">
        <f t="shared" si="8"/>
        <v>4515</v>
      </c>
      <c r="BJ73" s="1">
        <v>18</v>
      </c>
      <c r="BK73" s="1">
        <v>65</v>
      </c>
      <c r="BL73" s="1">
        <v>44</v>
      </c>
      <c r="BM73" s="1">
        <v>469</v>
      </c>
      <c r="BN73" s="1">
        <v>29</v>
      </c>
      <c r="BO73" s="1">
        <v>26</v>
      </c>
      <c r="BP73" s="1">
        <v>0</v>
      </c>
      <c r="BQ73" s="1">
        <v>0</v>
      </c>
      <c r="BR73" s="1">
        <v>22</v>
      </c>
      <c r="BS73" s="1">
        <v>107</v>
      </c>
      <c r="BT73" s="1">
        <v>4</v>
      </c>
      <c r="BU73" s="1">
        <v>2</v>
      </c>
      <c r="BV73" s="1">
        <v>3</v>
      </c>
      <c r="BW73" s="1">
        <v>46</v>
      </c>
      <c r="BX73" s="1">
        <v>609</v>
      </c>
      <c r="BY73" s="1">
        <v>62</v>
      </c>
    </row>
    <row r="74" spans="1:77">
      <c r="A74" s="1">
        <v>7</v>
      </c>
      <c r="B74" s="1" t="s">
        <v>290</v>
      </c>
      <c r="C74" s="7" t="s">
        <v>543</v>
      </c>
      <c r="D74" s="1" t="s">
        <v>54</v>
      </c>
      <c r="E74" s="1" t="s">
        <v>667</v>
      </c>
      <c r="F74" s="7" t="s">
        <v>695</v>
      </c>
      <c r="G74" s="7" t="s">
        <v>647</v>
      </c>
      <c r="H74" s="10">
        <v>41258224</v>
      </c>
      <c r="I74" s="10">
        <v>41346624</v>
      </c>
      <c r="J74" s="10">
        <v>1292310</v>
      </c>
      <c r="K74" s="48">
        <v>0</v>
      </c>
      <c r="L74" s="48">
        <v>2757441</v>
      </c>
      <c r="M74" s="48">
        <v>18268409</v>
      </c>
      <c r="N74" s="48">
        <v>0</v>
      </c>
      <c r="O74" s="48">
        <v>0</v>
      </c>
      <c r="P74" s="48">
        <v>3474997</v>
      </c>
      <c r="Q74" s="48">
        <v>0</v>
      </c>
      <c r="R74" s="10">
        <v>10563218</v>
      </c>
      <c r="S74" s="10">
        <v>2748693</v>
      </c>
      <c r="T74" s="10">
        <v>5574</v>
      </c>
      <c r="U74" s="10">
        <v>111306</v>
      </c>
      <c r="V74" s="10">
        <v>39631587</v>
      </c>
      <c r="W74" s="12">
        <v>3.4000000000000002E-2</v>
      </c>
      <c r="X74" s="10">
        <v>0</v>
      </c>
      <c r="Y74" s="22">
        <f>1702297/39480043</f>
        <v>4.311791149771544E-2</v>
      </c>
      <c r="Z74" s="10">
        <v>1701949</v>
      </c>
      <c r="AA74" s="10">
        <v>0</v>
      </c>
      <c r="AB74" s="10">
        <f>88400+18895</f>
        <v>107295</v>
      </c>
      <c r="AC74" s="10">
        <v>785628</v>
      </c>
      <c r="AD74" s="10">
        <v>62273</v>
      </c>
      <c r="AE74" s="10">
        <v>212991</v>
      </c>
      <c r="AF74" s="10">
        <v>199138</v>
      </c>
      <c r="AG74" s="10">
        <v>9067</v>
      </c>
      <c r="AH74" s="10">
        <v>38948</v>
      </c>
      <c r="AI74" s="10">
        <v>15447</v>
      </c>
      <c r="AJ74" s="10">
        <v>98546</v>
      </c>
      <c r="AK74" s="10">
        <f>18384+35787+41366</f>
        <v>95537</v>
      </c>
      <c r="AL74" s="10">
        <v>18459</v>
      </c>
      <c r="AM74" s="10">
        <v>0</v>
      </c>
      <c r="AN74" s="10">
        <v>42854</v>
      </c>
      <c r="AO74" s="10">
        <v>0</v>
      </c>
      <c r="AP74" s="10">
        <v>1784332</v>
      </c>
      <c r="AQ74" s="10">
        <v>1767014</v>
      </c>
      <c r="AR74" s="12">
        <f t="shared" si="9"/>
        <v>0</v>
      </c>
      <c r="AS74" s="10">
        <v>0</v>
      </c>
      <c r="AT74" s="10">
        <v>0</v>
      </c>
      <c r="AU74" s="10">
        <v>139802</v>
      </c>
      <c r="AV74" s="10">
        <v>140</v>
      </c>
      <c r="AW74" s="10">
        <v>257568</v>
      </c>
      <c r="AX74" s="10">
        <v>0</v>
      </c>
      <c r="AY74" s="10">
        <v>0</v>
      </c>
      <c r="AZ74" s="10">
        <v>0</v>
      </c>
      <c r="BA74" s="10">
        <v>6903</v>
      </c>
      <c r="BB74" s="10">
        <v>2617</v>
      </c>
      <c r="BC74" s="10">
        <v>12</v>
      </c>
      <c r="BD74" s="10">
        <f>11-3</f>
        <v>8</v>
      </c>
      <c r="BE74" s="10">
        <v>-367</v>
      </c>
      <c r="BF74" s="10">
        <v>-1545</v>
      </c>
      <c r="BG74" s="10">
        <v>-922</v>
      </c>
      <c r="BH74" s="10">
        <v>-10</v>
      </c>
      <c r="BI74" s="10">
        <f t="shared" si="8"/>
        <v>6696</v>
      </c>
      <c r="BJ74" s="1">
        <v>4</v>
      </c>
      <c r="BK74" s="1">
        <v>449</v>
      </c>
      <c r="BL74" s="1">
        <v>146</v>
      </c>
      <c r="BM74" s="1">
        <v>311</v>
      </c>
      <c r="BN74" s="1">
        <v>15</v>
      </c>
      <c r="BO74" s="1">
        <v>1</v>
      </c>
      <c r="BP74" s="1">
        <v>20</v>
      </c>
      <c r="BQ74" s="1">
        <v>9</v>
      </c>
      <c r="BR74" s="1">
        <v>99</v>
      </c>
      <c r="BS74" s="1">
        <v>19</v>
      </c>
      <c r="BT74" s="1">
        <v>0</v>
      </c>
      <c r="BU74" s="1">
        <v>197</v>
      </c>
      <c r="BV74" s="1">
        <v>38</v>
      </c>
      <c r="BW74" s="1">
        <v>419</v>
      </c>
      <c r="BX74" s="1">
        <v>141</v>
      </c>
      <c r="BY74" s="1">
        <v>0</v>
      </c>
    </row>
    <row r="75" spans="1:77">
      <c r="A75" s="1">
        <v>7</v>
      </c>
      <c r="B75" s="1" t="s">
        <v>480</v>
      </c>
      <c r="C75" s="7" t="s">
        <v>255</v>
      </c>
      <c r="D75" s="1" t="s">
        <v>428</v>
      </c>
      <c r="E75" s="1" t="s">
        <v>667</v>
      </c>
      <c r="F75" s="7" t="s">
        <v>695</v>
      </c>
      <c r="G75" s="7" t="s">
        <v>647</v>
      </c>
      <c r="H75" s="10">
        <v>2507674</v>
      </c>
      <c r="I75" s="10">
        <v>2509242</v>
      </c>
      <c r="J75" s="10">
        <v>40572</v>
      </c>
      <c r="K75" s="48">
        <v>0</v>
      </c>
      <c r="L75" s="48">
        <v>0</v>
      </c>
      <c r="M75" s="48">
        <v>368383</v>
      </c>
      <c r="N75" s="48">
        <v>1030393</v>
      </c>
      <c r="O75" s="48">
        <v>0</v>
      </c>
      <c r="P75" s="48">
        <v>24558</v>
      </c>
      <c r="Q75" s="48">
        <v>78212</v>
      </c>
      <c r="R75" s="10">
        <v>461681</v>
      </c>
      <c r="S75" s="10">
        <v>192169</v>
      </c>
      <c r="T75" s="10">
        <v>0</v>
      </c>
      <c r="U75" s="10">
        <v>7613</v>
      </c>
      <c r="V75" s="10">
        <v>2402497</v>
      </c>
      <c r="W75" s="12">
        <v>3.6700000000000003E-2</v>
      </c>
      <c r="X75" s="10">
        <v>0</v>
      </c>
      <c r="Y75" s="22">
        <f>239488/2394884</f>
        <v>9.9999832977296602E-2</v>
      </c>
      <c r="Z75" s="10">
        <v>239488</v>
      </c>
      <c r="AA75" s="10">
        <v>0</v>
      </c>
      <c r="AB75" s="10">
        <f>1568+42</f>
        <v>1610</v>
      </c>
      <c r="AC75" s="10">
        <v>59428</v>
      </c>
      <c r="AD75" s="10">
        <v>5304</v>
      </c>
      <c r="AE75" s="10">
        <v>0</v>
      </c>
      <c r="AF75" s="10">
        <v>12216</v>
      </c>
      <c r="AG75" s="10">
        <v>0</v>
      </c>
      <c r="AH75" s="10">
        <v>15090</v>
      </c>
      <c r="AI75" s="10">
        <v>0</v>
      </c>
      <c r="AJ75" s="10">
        <v>7675</v>
      </c>
      <c r="AK75" s="10">
        <f>4363+4867+6553</f>
        <v>15783</v>
      </c>
      <c r="AL75" s="10">
        <v>250</v>
      </c>
      <c r="AM75" s="10">
        <v>0</v>
      </c>
      <c r="AN75" s="10">
        <v>1812</v>
      </c>
      <c r="AO75" s="10">
        <v>40284</v>
      </c>
      <c r="AP75" s="10">
        <v>128926</v>
      </c>
      <c r="AQ75" s="10">
        <v>129000</v>
      </c>
      <c r="AR75" s="12">
        <f t="shared" si="9"/>
        <v>0.31245830941780556</v>
      </c>
      <c r="AS75" s="10">
        <v>0</v>
      </c>
      <c r="AT75" s="10">
        <v>0</v>
      </c>
      <c r="AU75" s="10">
        <v>119744</v>
      </c>
      <c r="AV75" s="10">
        <v>0</v>
      </c>
      <c r="AW75" s="10">
        <v>3674</v>
      </c>
      <c r="AX75" s="10">
        <v>0</v>
      </c>
      <c r="AY75" s="10">
        <v>0</v>
      </c>
      <c r="AZ75" s="10">
        <v>0</v>
      </c>
      <c r="BA75" s="10">
        <v>324</v>
      </c>
      <c r="BB75" s="10">
        <v>259</v>
      </c>
      <c r="BC75" s="10">
        <v>0</v>
      </c>
      <c r="BD75" s="10">
        <v>4</v>
      </c>
      <c r="BE75" s="10">
        <v>-41</v>
      </c>
      <c r="BF75" s="10">
        <v>-65</v>
      </c>
      <c r="BG75" s="10">
        <v>-43</v>
      </c>
      <c r="BH75" s="10">
        <v>-1</v>
      </c>
      <c r="BI75" s="10">
        <f t="shared" si="8"/>
        <v>437</v>
      </c>
      <c r="BJ75" s="1">
        <v>0</v>
      </c>
      <c r="BK75" s="1">
        <v>14</v>
      </c>
      <c r="BL75" s="1">
        <v>7</v>
      </c>
      <c r="BM75" s="1">
        <v>20</v>
      </c>
      <c r="BN75" s="1">
        <v>0</v>
      </c>
      <c r="BO75" s="1">
        <v>2</v>
      </c>
      <c r="BP75" s="1" t="s">
        <v>453</v>
      </c>
      <c r="BQ75" s="1" t="s">
        <v>453</v>
      </c>
      <c r="BR75" s="1" t="s">
        <v>453</v>
      </c>
      <c r="BS75" s="1" t="s">
        <v>453</v>
      </c>
      <c r="BT75" s="1" t="s">
        <v>453</v>
      </c>
      <c r="BU75" s="1" t="s">
        <v>453</v>
      </c>
      <c r="BV75" s="1" t="s">
        <v>453</v>
      </c>
      <c r="BW75" s="1" t="s">
        <v>453</v>
      </c>
      <c r="BX75" s="1" t="s">
        <v>453</v>
      </c>
      <c r="BY75" s="1" t="s">
        <v>453</v>
      </c>
    </row>
    <row r="76" spans="1:77">
      <c r="A76" s="1">
        <v>7</v>
      </c>
      <c r="B76" s="1" t="s">
        <v>485</v>
      </c>
      <c r="C76" s="7" t="s">
        <v>166</v>
      </c>
      <c r="D76" s="1" t="s">
        <v>368</v>
      </c>
      <c r="E76" s="1" t="s">
        <v>667</v>
      </c>
      <c r="F76" s="7" t="s">
        <v>617</v>
      </c>
      <c r="G76" s="7" t="s">
        <v>647</v>
      </c>
      <c r="H76" s="10">
        <v>20943297</v>
      </c>
      <c r="I76" s="10">
        <v>21009545</v>
      </c>
      <c r="J76" s="10">
        <v>719289</v>
      </c>
      <c r="K76" s="48">
        <v>0</v>
      </c>
      <c r="L76" s="48">
        <v>0</v>
      </c>
      <c r="M76" s="48">
        <v>719357</v>
      </c>
      <c r="N76" s="48">
        <v>10233849</v>
      </c>
      <c r="O76" s="48">
        <v>0</v>
      </c>
      <c r="P76" s="48">
        <v>74047</v>
      </c>
      <c r="Q76" s="48">
        <v>3064008</v>
      </c>
      <c r="R76" s="10">
        <v>2624565</v>
      </c>
      <c r="S76" s="10">
        <v>1969828</v>
      </c>
      <c r="T76" s="10">
        <v>0</v>
      </c>
      <c r="U76" s="10">
        <v>0</v>
      </c>
      <c r="V76" s="10">
        <v>20473513</v>
      </c>
      <c r="W76" s="12">
        <v>0.1101</v>
      </c>
      <c r="X76" s="10">
        <v>0</v>
      </c>
      <c r="Y76" s="22">
        <f>1783767/20473513</f>
        <v>8.712559490889521E-2</v>
      </c>
      <c r="Z76" s="10">
        <v>1780719</v>
      </c>
      <c r="AA76" s="10">
        <v>0</v>
      </c>
      <c r="AB76" s="10">
        <f>66248+8578</f>
        <v>74826</v>
      </c>
      <c r="AC76" s="10">
        <v>572789</v>
      </c>
      <c r="AD76" s="10">
        <v>47642</v>
      </c>
      <c r="AE76" s="10">
        <v>203172</v>
      </c>
      <c r="AF76" s="10">
        <v>143156</v>
      </c>
      <c r="AG76" s="10">
        <v>35956</v>
      </c>
      <c r="AH76" s="10">
        <v>70159</v>
      </c>
      <c r="AI76" s="10">
        <v>149275</v>
      </c>
      <c r="AJ76" s="10">
        <v>154589</v>
      </c>
      <c r="AK76" s="10">
        <f>16685+46019+87436</f>
        <v>150140</v>
      </c>
      <c r="AL76" s="10">
        <v>16325</v>
      </c>
      <c r="AM76" s="10">
        <v>29145</v>
      </c>
      <c r="AN76" s="10">
        <v>39398</v>
      </c>
      <c r="AO76" s="10">
        <v>0</v>
      </c>
      <c r="AP76" s="10">
        <v>1754352</v>
      </c>
      <c r="AQ76" s="10">
        <v>1748166</v>
      </c>
      <c r="AR76" s="12">
        <f t="shared" si="9"/>
        <v>0</v>
      </c>
      <c r="AS76" s="10">
        <v>63</v>
      </c>
      <c r="AT76" s="10">
        <v>0</v>
      </c>
      <c r="AU76" s="10">
        <v>139662</v>
      </c>
      <c r="AV76" s="10">
        <v>0</v>
      </c>
      <c r="AW76" s="10">
        <v>202643</v>
      </c>
      <c r="AX76" s="10">
        <v>0</v>
      </c>
      <c r="AY76" s="10">
        <v>0</v>
      </c>
      <c r="AZ76" s="10">
        <v>0</v>
      </c>
      <c r="BA76" s="10">
        <v>4578</v>
      </c>
      <c r="BB76" s="10">
        <v>1945</v>
      </c>
      <c r="BC76" s="10">
        <v>1011</v>
      </c>
      <c r="BD76" s="10">
        <v>0</v>
      </c>
      <c r="BE76" s="10">
        <v>-367</v>
      </c>
      <c r="BF76" s="10">
        <v>-1833</v>
      </c>
      <c r="BG76" s="10">
        <v>-905</v>
      </c>
      <c r="BH76" s="10">
        <v>-25</v>
      </c>
      <c r="BI76" s="10">
        <f t="shared" ref="BI76:BI107" si="10">SUM(BA76:BH76)</f>
        <v>4404</v>
      </c>
      <c r="BJ76" s="1">
        <v>14</v>
      </c>
      <c r="BK76" s="1">
        <v>77</v>
      </c>
      <c r="BL76" s="1">
        <v>71</v>
      </c>
      <c r="BM76" s="1">
        <v>691</v>
      </c>
      <c r="BN76" s="1">
        <v>64</v>
      </c>
      <c r="BO76" s="1">
        <v>2</v>
      </c>
      <c r="BP76" s="1" t="s">
        <v>453</v>
      </c>
      <c r="BQ76" s="1" t="s">
        <v>453</v>
      </c>
      <c r="BR76" s="1" t="s">
        <v>453</v>
      </c>
      <c r="BS76" s="1" t="s">
        <v>453</v>
      </c>
      <c r="BT76" s="1" t="s">
        <v>453</v>
      </c>
      <c r="BU76" s="1" t="s">
        <v>453</v>
      </c>
      <c r="BV76" s="1" t="s">
        <v>453</v>
      </c>
      <c r="BW76" s="1" t="s">
        <v>453</v>
      </c>
      <c r="BX76" s="1" t="s">
        <v>453</v>
      </c>
      <c r="BY76" s="1" t="s">
        <v>453</v>
      </c>
    </row>
    <row r="77" spans="1:77">
      <c r="A77" s="1">
        <v>7</v>
      </c>
      <c r="B77" s="1" t="s">
        <v>494</v>
      </c>
      <c r="C77" s="7" t="s">
        <v>4</v>
      </c>
      <c r="D77" s="1" t="s">
        <v>586</v>
      </c>
      <c r="E77" s="1" t="s">
        <v>667</v>
      </c>
      <c r="F77" s="7" t="s">
        <v>695</v>
      </c>
      <c r="G77" s="7" t="s">
        <v>647</v>
      </c>
      <c r="H77" s="10">
        <v>40444828</v>
      </c>
      <c r="I77" s="10">
        <v>40624182</v>
      </c>
      <c r="J77" s="10">
        <v>1711233</v>
      </c>
      <c r="K77" s="48">
        <v>0</v>
      </c>
      <c r="L77" s="48">
        <v>452851</v>
      </c>
      <c r="M77" s="48">
        <v>19323365</v>
      </c>
      <c r="N77" s="48">
        <v>0</v>
      </c>
      <c r="O77" s="48">
        <v>0</v>
      </c>
      <c r="P77" s="48">
        <v>2307938</v>
      </c>
      <c r="Q77" s="48">
        <v>0</v>
      </c>
      <c r="R77" s="10">
        <v>10859827</v>
      </c>
      <c r="S77" s="10">
        <v>3280520</v>
      </c>
      <c r="T77" s="10">
        <v>11550</v>
      </c>
      <c r="U77" s="10">
        <v>94407</v>
      </c>
      <c r="V77" s="10">
        <v>38636005</v>
      </c>
      <c r="W77" s="12">
        <v>5.1200000000000002E-2</v>
      </c>
      <c r="X77" s="10">
        <v>0</v>
      </c>
      <c r="Y77" s="22">
        <f>2308558/38475973</f>
        <v>5.9999990123706555E-2</v>
      </c>
      <c r="Z77" s="10">
        <v>2305547</v>
      </c>
      <c r="AA77" s="10">
        <v>0</v>
      </c>
      <c r="AB77" s="10">
        <f>179354+2010</f>
        <v>181364</v>
      </c>
      <c r="AC77" s="10">
        <v>1210152</v>
      </c>
      <c r="AD77" s="10">
        <v>93641</v>
      </c>
      <c r="AE77" s="10">
        <v>334948</v>
      </c>
      <c r="AF77" s="10">
        <f>257102+1311</f>
        <v>258413</v>
      </c>
      <c r="AG77" s="10">
        <v>16000</v>
      </c>
      <c r="AH77" s="10">
        <v>41180</v>
      </c>
      <c r="AI77" s="10">
        <v>93466</v>
      </c>
      <c r="AJ77" s="10">
        <v>126189</v>
      </c>
      <c r="AK77" s="10">
        <f>31780+18122+60730</f>
        <v>110632</v>
      </c>
      <c r="AL77" s="10">
        <v>18350</v>
      </c>
      <c r="AM77" s="10">
        <v>0</v>
      </c>
      <c r="AN77" s="10">
        <v>29051</v>
      </c>
      <c r="AO77" s="10">
        <v>0</v>
      </c>
      <c r="AP77" s="10">
        <v>2496973</v>
      </c>
      <c r="AQ77" s="10">
        <v>2548806</v>
      </c>
      <c r="AR77" s="12">
        <f t="shared" si="9"/>
        <v>0</v>
      </c>
      <c r="AS77" s="10">
        <v>0</v>
      </c>
      <c r="AT77" s="10">
        <v>0</v>
      </c>
      <c r="AU77" s="10">
        <v>139662</v>
      </c>
      <c r="AV77" s="10">
        <v>0</v>
      </c>
      <c r="AW77" s="10">
        <v>221584</v>
      </c>
      <c r="AX77" s="10">
        <v>0</v>
      </c>
      <c r="AY77" s="10">
        <v>0</v>
      </c>
      <c r="AZ77" s="10">
        <v>0</v>
      </c>
      <c r="BA77" s="10">
        <v>7026</v>
      </c>
      <c r="BB77" s="10">
        <v>2033</v>
      </c>
      <c r="BC77" s="10">
        <v>8</v>
      </c>
      <c r="BD77" s="10">
        <v>0</v>
      </c>
      <c r="BE77" s="10">
        <v>-261</v>
      </c>
      <c r="BF77" s="10">
        <v>-1143</v>
      </c>
      <c r="BG77" s="10">
        <v>-866</v>
      </c>
      <c r="BH77" s="10">
        <v>-32</v>
      </c>
      <c r="BI77" s="10">
        <f t="shared" si="10"/>
        <v>6765</v>
      </c>
      <c r="BJ77" s="1">
        <v>28</v>
      </c>
      <c r="BK77" s="1">
        <v>524</v>
      </c>
      <c r="BL77" s="1">
        <v>126</v>
      </c>
      <c r="BM77" s="1">
        <v>216</v>
      </c>
      <c r="BN77" s="1">
        <v>0</v>
      </c>
      <c r="BO77" s="1">
        <v>0</v>
      </c>
      <c r="BP77" s="1" t="s">
        <v>453</v>
      </c>
      <c r="BQ77" s="1" t="s">
        <v>453</v>
      </c>
      <c r="BR77" s="1" t="s">
        <v>453</v>
      </c>
      <c r="BS77" s="1" t="s">
        <v>453</v>
      </c>
      <c r="BT77" s="1" t="s">
        <v>453</v>
      </c>
      <c r="BU77" s="1" t="s">
        <v>453</v>
      </c>
      <c r="BV77" s="1" t="s">
        <v>453</v>
      </c>
      <c r="BW77" s="1" t="s">
        <v>453</v>
      </c>
      <c r="BX77" s="1" t="s">
        <v>453</v>
      </c>
      <c r="BY77" s="1" t="s">
        <v>453</v>
      </c>
    </row>
    <row r="78" spans="1:77">
      <c r="A78" s="1">
        <v>7</v>
      </c>
      <c r="B78" s="1" t="s">
        <v>513</v>
      </c>
      <c r="C78" s="7" t="s">
        <v>168</v>
      </c>
      <c r="D78" s="1" t="s">
        <v>299</v>
      </c>
      <c r="E78" s="1" t="s">
        <v>667</v>
      </c>
      <c r="F78" s="7" t="s">
        <v>617</v>
      </c>
      <c r="G78" s="7" t="s">
        <v>647</v>
      </c>
      <c r="H78" s="10">
        <v>10102377</v>
      </c>
      <c r="I78" s="10">
        <v>10140598</v>
      </c>
      <c r="J78" s="10">
        <v>493468</v>
      </c>
      <c r="K78" s="48">
        <v>0</v>
      </c>
      <c r="L78" s="48">
        <v>0</v>
      </c>
      <c r="M78" s="48">
        <v>0</v>
      </c>
      <c r="N78" s="48">
        <v>4419820</v>
      </c>
      <c r="O78" s="48">
        <v>0</v>
      </c>
      <c r="P78" s="48">
        <v>1703803</v>
      </c>
      <c r="Q78" s="48">
        <v>0</v>
      </c>
      <c r="R78" s="10">
        <v>1576728</v>
      </c>
      <c r="S78" s="10">
        <v>826507</v>
      </c>
      <c r="T78" s="10">
        <v>7383</v>
      </c>
      <c r="U78" s="10">
        <v>0</v>
      </c>
      <c r="V78" s="10">
        <v>9480172</v>
      </c>
      <c r="W78" s="12">
        <v>8.1600000000000006E-2</v>
      </c>
      <c r="X78" s="10">
        <v>0</v>
      </c>
      <c r="Y78" s="22">
        <f>947280/9472789</f>
        <v>0.10000011612208401</v>
      </c>
      <c r="Z78" s="10">
        <v>945712</v>
      </c>
      <c r="AA78" s="10">
        <v>0</v>
      </c>
      <c r="AB78" s="10">
        <f>38221+895</f>
        <v>39116</v>
      </c>
      <c r="AC78" s="10">
        <v>379663</v>
      </c>
      <c r="AD78" s="10">
        <v>27847</v>
      </c>
      <c r="AE78" s="10">
        <v>87481</v>
      </c>
      <c r="AF78" s="10">
        <v>75000</v>
      </c>
      <c r="AG78" s="10">
        <v>36062</v>
      </c>
      <c r="AH78" s="10">
        <v>24351</v>
      </c>
      <c r="AI78" s="10">
        <v>720</v>
      </c>
      <c r="AJ78" s="10">
        <v>40061</v>
      </c>
      <c r="AK78" s="10">
        <f>39561+9556+17065</f>
        <v>66182</v>
      </c>
      <c r="AL78" s="10">
        <v>6780</v>
      </c>
      <c r="AM78" s="10">
        <v>21414</v>
      </c>
      <c r="AN78" s="10">
        <v>32163</v>
      </c>
      <c r="AO78" s="10">
        <v>0</v>
      </c>
      <c r="AP78" s="10">
        <v>882227</v>
      </c>
      <c r="AQ78" s="10">
        <v>909272</v>
      </c>
      <c r="AR78" s="12">
        <f t="shared" si="9"/>
        <v>0</v>
      </c>
      <c r="AS78" s="10">
        <v>5459</v>
      </c>
      <c r="AT78" s="10">
        <v>0</v>
      </c>
      <c r="AU78" s="10">
        <v>139662</v>
      </c>
      <c r="AV78" s="10">
        <v>0</v>
      </c>
      <c r="AW78" s="10">
        <v>80125</v>
      </c>
      <c r="AX78" s="10">
        <v>0</v>
      </c>
      <c r="AY78" s="10">
        <v>0</v>
      </c>
      <c r="AZ78" s="10">
        <v>0</v>
      </c>
      <c r="BA78" s="10">
        <v>2471</v>
      </c>
      <c r="BB78" s="10">
        <v>1300</v>
      </c>
      <c r="BC78" s="10">
        <v>0</v>
      </c>
      <c r="BD78" s="10">
        <v>0</v>
      </c>
      <c r="BE78" s="10">
        <v>-234</v>
      </c>
      <c r="BF78" s="10">
        <v>-838</v>
      </c>
      <c r="BG78" s="10">
        <v>-484</v>
      </c>
      <c r="BH78" s="10">
        <v>-4</v>
      </c>
      <c r="BI78" s="10">
        <f t="shared" si="10"/>
        <v>2211</v>
      </c>
      <c r="BJ78" s="1">
        <v>10</v>
      </c>
      <c r="BK78" s="1">
        <v>70</v>
      </c>
      <c r="BL78" s="1">
        <v>42</v>
      </c>
      <c r="BM78" s="1">
        <v>342</v>
      </c>
      <c r="BN78" s="1">
        <v>9</v>
      </c>
      <c r="BO78" s="1">
        <v>21</v>
      </c>
      <c r="BP78" s="1">
        <v>0</v>
      </c>
      <c r="BQ78" s="1">
        <v>1</v>
      </c>
      <c r="BR78" s="1">
        <v>17</v>
      </c>
      <c r="BS78" s="1">
        <v>72</v>
      </c>
      <c r="BT78" s="1" t="s">
        <v>669</v>
      </c>
      <c r="BU78" s="1">
        <v>8</v>
      </c>
      <c r="BV78" s="1">
        <v>2</v>
      </c>
      <c r="BW78" s="1">
        <v>44</v>
      </c>
      <c r="BX78" s="1">
        <v>281</v>
      </c>
      <c r="BY78" s="1" t="s">
        <v>669</v>
      </c>
    </row>
    <row r="79" spans="1:77">
      <c r="A79" s="1">
        <v>8</v>
      </c>
      <c r="B79" s="1" t="s">
        <v>101</v>
      </c>
      <c r="C79" s="7" t="s">
        <v>606</v>
      </c>
      <c r="D79" s="1" t="s">
        <v>380</v>
      </c>
      <c r="E79" s="1" t="s">
        <v>361</v>
      </c>
      <c r="F79" s="7" t="s">
        <v>205</v>
      </c>
      <c r="G79" s="7" t="s">
        <v>351</v>
      </c>
      <c r="H79" s="10">
        <v>13784217</v>
      </c>
      <c r="I79" s="10">
        <v>13850482</v>
      </c>
      <c r="J79" s="10">
        <v>319023</v>
      </c>
      <c r="K79" s="48">
        <v>0</v>
      </c>
      <c r="L79" s="48">
        <v>0</v>
      </c>
      <c r="M79" s="48">
        <v>0</v>
      </c>
      <c r="N79" s="48">
        <v>6250199</v>
      </c>
      <c r="O79" s="48">
        <v>0</v>
      </c>
      <c r="P79" s="48">
        <v>572315</v>
      </c>
      <c r="Q79" s="48">
        <v>0</v>
      </c>
      <c r="R79" s="10">
        <v>5142503</v>
      </c>
      <c r="S79" s="10">
        <v>470477</v>
      </c>
      <c r="T79" s="10">
        <v>0</v>
      </c>
      <c r="U79" s="10">
        <v>0</v>
      </c>
      <c r="V79" s="10">
        <v>13225900</v>
      </c>
      <c r="W79" s="12">
        <v>6.8400000000000002E-2</v>
      </c>
      <c r="X79" s="10">
        <v>0</v>
      </c>
      <c r="Y79" s="22">
        <f>790884/13181405</f>
        <v>5.9999977240665921E-2</v>
      </c>
      <c r="Z79" s="10">
        <v>790406</v>
      </c>
      <c r="AA79" s="10">
        <v>0</v>
      </c>
      <c r="AB79" s="10">
        <f>46567+5014+1502</f>
        <v>53083</v>
      </c>
      <c r="AC79" s="10">
        <v>379584</v>
      </c>
      <c r="AD79" s="10">
        <v>31608</v>
      </c>
      <c r="AE79" s="10">
        <v>95579</v>
      </c>
      <c r="AF79" s="10">
        <v>67954</v>
      </c>
      <c r="AG79" s="10">
        <v>3876</v>
      </c>
      <c r="AH79" s="10">
        <v>28659</v>
      </c>
      <c r="AI79" s="10">
        <v>0</v>
      </c>
      <c r="AJ79" s="10">
        <v>0</v>
      </c>
      <c r="AK79" s="10">
        <f>8128+32227+23160</f>
        <v>63515</v>
      </c>
      <c r="AL79" s="10">
        <v>10618</v>
      </c>
      <c r="AM79" s="10">
        <v>1452</v>
      </c>
      <c r="AN79" s="10">
        <v>16863</v>
      </c>
      <c r="AO79" s="10">
        <v>0</v>
      </c>
      <c r="AP79" s="10">
        <v>748783</v>
      </c>
      <c r="AQ79" s="10">
        <v>766064</v>
      </c>
      <c r="AR79" s="12">
        <f t="shared" si="9"/>
        <v>0</v>
      </c>
      <c r="AS79" s="10">
        <v>2228</v>
      </c>
      <c r="AT79" s="10">
        <v>0</v>
      </c>
      <c r="AU79" s="10">
        <v>139662</v>
      </c>
      <c r="AV79" s="10">
        <v>0</v>
      </c>
      <c r="AW79" s="10">
        <v>78107</v>
      </c>
      <c r="AX79" s="10">
        <v>0</v>
      </c>
      <c r="AY79" s="10">
        <v>0</v>
      </c>
      <c r="AZ79" s="10">
        <v>0</v>
      </c>
      <c r="BA79" s="10">
        <v>3769</v>
      </c>
      <c r="BB79" s="10">
        <v>1115</v>
      </c>
      <c r="BC79" s="10">
        <v>2</v>
      </c>
      <c r="BD79" s="10">
        <v>30</v>
      </c>
      <c r="BE79" s="10">
        <v>-322</v>
      </c>
      <c r="BF79" s="10">
        <v>-575</v>
      </c>
      <c r="BG79" s="10">
        <v>-567</v>
      </c>
      <c r="BH79" s="10">
        <v>-22</v>
      </c>
      <c r="BI79" s="10">
        <f t="shared" si="10"/>
        <v>3430</v>
      </c>
      <c r="BJ79" s="1">
        <v>39</v>
      </c>
      <c r="BK79" s="1">
        <v>291</v>
      </c>
      <c r="BL79" s="1">
        <v>100</v>
      </c>
      <c r="BM79" s="1">
        <v>159</v>
      </c>
      <c r="BN79" s="1">
        <v>2</v>
      </c>
      <c r="BO79" s="1">
        <v>15</v>
      </c>
      <c r="BP79" s="1">
        <v>4</v>
      </c>
      <c r="BQ79" s="1">
        <v>9</v>
      </c>
      <c r="BR79" s="1">
        <v>67</v>
      </c>
      <c r="BS79" s="1">
        <v>156</v>
      </c>
      <c r="BT79" s="1">
        <v>0</v>
      </c>
      <c r="BU79" s="1">
        <v>11</v>
      </c>
      <c r="BV79" s="1">
        <v>13</v>
      </c>
      <c r="BW79" s="1">
        <v>85</v>
      </c>
      <c r="BX79" s="1">
        <v>270</v>
      </c>
      <c r="BY79" s="1">
        <v>6</v>
      </c>
    </row>
    <row r="80" spans="1:77">
      <c r="A80" s="1">
        <v>8</v>
      </c>
      <c r="B80" s="1" t="s">
        <v>214</v>
      </c>
      <c r="C80" s="7" t="s">
        <v>258</v>
      </c>
      <c r="D80" s="1" t="s">
        <v>416</v>
      </c>
      <c r="E80" s="1" t="s">
        <v>651</v>
      </c>
      <c r="F80" s="7" t="s">
        <v>695</v>
      </c>
      <c r="G80" s="7" t="s">
        <v>643</v>
      </c>
      <c r="H80" s="10">
        <v>82367355</v>
      </c>
      <c r="I80" s="10">
        <v>82631966</v>
      </c>
      <c r="J80" s="10">
        <v>1960599</v>
      </c>
      <c r="K80" s="48">
        <v>30418802</v>
      </c>
      <c r="L80" s="48">
        <v>4882440</v>
      </c>
      <c r="M80" s="48">
        <v>22285019</v>
      </c>
      <c r="N80" s="48">
        <v>0</v>
      </c>
      <c r="O80" s="48">
        <v>877920</v>
      </c>
      <c r="P80" s="48">
        <v>2878462</v>
      </c>
      <c r="Q80" s="48">
        <v>0</v>
      </c>
      <c r="R80" s="10">
        <v>9356090</v>
      </c>
      <c r="S80" s="10">
        <v>3174091</v>
      </c>
      <c r="T80" s="10">
        <v>0</v>
      </c>
      <c r="U80" s="10">
        <v>0</v>
      </c>
      <c r="V80" s="10">
        <v>79677106</v>
      </c>
      <c r="W80" s="12">
        <v>0.08</v>
      </c>
      <c r="X80" s="10">
        <f>30418802+877920</f>
        <v>31296722</v>
      </c>
      <c r="Y80" s="22">
        <f>1914728/48302502</f>
        <v>3.964034823703335E-2</v>
      </c>
      <c r="Z80" s="10">
        <v>1913827</v>
      </c>
      <c r="AA80" s="10">
        <v>0</v>
      </c>
      <c r="AB80" s="10">
        <f>242975+21306</f>
        <v>264281</v>
      </c>
      <c r="AC80" s="10">
        <v>941939</v>
      </c>
      <c r="AD80" s="10">
        <v>73356</v>
      </c>
      <c r="AE80" s="10">
        <v>268680</v>
      </c>
      <c r="AF80" s="10">
        <v>157330</v>
      </c>
      <c r="AG80" s="10">
        <v>0</v>
      </c>
      <c r="AH80" s="10">
        <v>23769</v>
      </c>
      <c r="AI80" s="10">
        <v>2377</v>
      </c>
      <c r="AJ80" s="10">
        <v>0</v>
      </c>
      <c r="AK80" s="10">
        <f>25338+91858+71676</f>
        <v>188872</v>
      </c>
      <c r="AL80" s="10">
        <v>15903</v>
      </c>
      <c r="AM80" s="10">
        <v>0</v>
      </c>
      <c r="AN80" s="10">
        <v>52682</v>
      </c>
      <c r="AO80" s="10">
        <v>0</v>
      </c>
      <c r="AP80" s="10">
        <v>1827553</v>
      </c>
      <c r="AQ80" s="10">
        <v>1947867</v>
      </c>
      <c r="AR80" s="12">
        <f t="shared" si="9"/>
        <v>0</v>
      </c>
      <c r="AS80" s="10">
        <v>0</v>
      </c>
      <c r="AT80" s="10">
        <v>0</v>
      </c>
      <c r="AU80" s="10">
        <v>139663</v>
      </c>
      <c r="AV80" s="10">
        <v>0</v>
      </c>
      <c r="AW80" s="10">
        <v>214725</v>
      </c>
      <c r="AX80" s="10">
        <v>0</v>
      </c>
      <c r="AY80" s="10">
        <v>0</v>
      </c>
      <c r="AZ80" s="10">
        <v>0</v>
      </c>
      <c r="BA80" s="10">
        <v>14056</v>
      </c>
      <c r="BB80" s="10">
        <v>6188</v>
      </c>
      <c r="BC80" s="10">
        <v>0</v>
      </c>
      <c r="BD80" s="10">
        <v>-4</v>
      </c>
      <c r="BE80" s="10">
        <v>-432</v>
      </c>
      <c r="BF80" s="10">
        <v>-4307</v>
      </c>
      <c r="BG80" s="10">
        <v>-1538</v>
      </c>
      <c r="BH80" s="10">
        <v>0</v>
      </c>
      <c r="BI80" s="10">
        <f t="shared" si="10"/>
        <v>13963</v>
      </c>
      <c r="BJ80" s="1">
        <v>113</v>
      </c>
      <c r="BK80" s="1">
        <v>790</v>
      </c>
      <c r="BL80" s="1">
        <v>189</v>
      </c>
      <c r="BM80" s="1">
        <v>520</v>
      </c>
      <c r="BN80" s="1">
        <v>5</v>
      </c>
      <c r="BO80" s="1">
        <v>34</v>
      </c>
      <c r="BP80" s="1">
        <v>1</v>
      </c>
      <c r="BQ80" s="1">
        <v>11</v>
      </c>
      <c r="BR80" s="1">
        <v>150</v>
      </c>
      <c r="BS80" s="1">
        <v>239</v>
      </c>
      <c r="BT80" s="1">
        <v>0</v>
      </c>
      <c r="BU80" s="1">
        <v>60</v>
      </c>
      <c r="BV80" s="1">
        <v>88</v>
      </c>
      <c r="BW80" s="1">
        <v>680</v>
      </c>
      <c r="BX80" s="1">
        <v>2084</v>
      </c>
      <c r="BY80" s="1">
        <v>92</v>
      </c>
    </row>
    <row r="81" spans="1:77">
      <c r="A81" s="1">
        <v>8</v>
      </c>
      <c r="B81" s="1" t="s">
        <v>274</v>
      </c>
      <c r="C81" s="7" t="s">
        <v>703</v>
      </c>
      <c r="D81" s="1" t="s">
        <v>322</v>
      </c>
      <c r="E81" s="1" t="s">
        <v>651</v>
      </c>
      <c r="F81" s="7" t="s">
        <v>695</v>
      </c>
      <c r="G81" s="7" t="s">
        <v>643</v>
      </c>
      <c r="H81" s="10">
        <v>33566332</v>
      </c>
      <c r="I81" s="10">
        <v>33674503</v>
      </c>
      <c r="J81" s="10">
        <v>695076</v>
      </c>
      <c r="K81" s="48">
        <v>9147052</v>
      </c>
      <c r="L81" s="48">
        <v>0</v>
      </c>
      <c r="M81" s="48">
        <v>14292677</v>
      </c>
      <c r="N81" s="48">
        <v>0</v>
      </c>
      <c r="O81" s="48">
        <v>29218</v>
      </c>
      <c r="P81" s="48">
        <v>721615</v>
      </c>
      <c r="Q81" s="48">
        <v>0</v>
      </c>
      <c r="R81" s="10">
        <v>3785539</v>
      </c>
      <c r="S81" s="10">
        <v>1711280</v>
      </c>
      <c r="T81" s="10">
        <v>0</v>
      </c>
      <c r="U81" s="10">
        <v>0</v>
      </c>
      <c r="V81" s="10">
        <v>32718522</v>
      </c>
      <c r="W81" s="12">
        <v>8.4099999999999994E-2</v>
      </c>
      <c r="X81" s="10">
        <f>9147052+29218</f>
        <v>9176270</v>
      </c>
      <c r="Y81" s="22">
        <f>1316338/23537602</f>
        <v>5.5924898381746788E-2</v>
      </c>
      <c r="Z81" s="10">
        <v>1316260</v>
      </c>
      <c r="AA81" s="10">
        <v>0</v>
      </c>
      <c r="AB81" s="10">
        <f>99199+8547+92</f>
        <v>107838</v>
      </c>
      <c r="AC81" s="10">
        <v>797097</v>
      </c>
      <c r="AD81" s="10">
        <v>60106</v>
      </c>
      <c r="AE81" s="10">
        <v>145394</v>
      </c>
      <c r="AF81" s="10">
        <v>89054</v>
      </c>
      <c r="AG81" s="10">
        <v>0</v>
      </c>
      <c r="AH81" s="10">
        <v>23137</v>
      </c>
      <c r="AI81" s="10">
        <v>184046</v>
      </c>
      <c r="AJ81" s="10">
        <v>0</v>
      </c>
      <c r="AK81" s="10">
        <f>21857+11145+26803</f>
        <v>59805</v>
      </c>
      <c r="AL81" s="10">
        <v>13545</v>
      </c>
      <c r="AM81" s="10">
        <v>12149</v>
      </c>
      <c r="AN81" s="10">
        <v>72272</v>
      </c>
      <c r="AO81" s="10">
        <v>12968</v>
      </c>
      <c r="AP81" s="10">
        <v>1520546</v>
      </c>
      <c r="AQ81" s="10">
        <v>1618075</v>
      </c>
      <c r="AR81" s="12">
        <f t="shared" si="9"/>
        <v>8.5285154148575584E-3</v>
      </c>
      <c r="AS81" s="10">
        <v>0</v>
      </c>
      <c r="AT81" s="10">
        <v>0</v>
      </c>
      <c r="AU81" s="10">
        <v>0</v>
      </c>
      <c r="AV81" s="10">
        <v>0</v>
      </c>
      <c r="AW81" s="10">
        <v>41679</v>
      </c>
      <c r="AX81" s="10">
        <v>0</v>
      </c>
      <c r="AY81" s="10">
        <v>0</v>
      </c>
      <c r="AZ81" s="10">
        <v>0</v>
      </c>
      <c r="BA81" s="10">
        <v>6823</v>
      </c>
      <c r="BB81" s="10">
        <v>3088</v>
      </c>
      <c r="BC81" s="10">
        <v>1</v>
      </c>
      <c r="BD81" s="10">
        <f>1+3-2</f>
        <v>2</v>
      </c>
      <c r="BE81" s="10">
        <v>-292</v>
      </c>
      <c r="BF81" s="10">
        <v>-2059</v>
      </c>
      <c r="BG81" s="10">
        <v>-779</v>
      </c>
      <c r="BH81" s="10">
        <v>0</v>
      </c>
      <c r="BI81" s="10">
        <f t="shared" si="10"/>
        <v>6784</v>
      </c>
      <c r="BJ81" s="1">
        <v>16</v>
      </c>
      <c r="BK81" s="1">
        <v>283</v>
      </c>
      <c r="BL81" s="1">
        <v>84</v>
      </c>
      <c r="BM81" s="1">
        <v>412</v>
      </c>
      <c r="BN81" s="1">
        <v>0</v>
      </c>
      <c r="BO81" s="1">
        <v>13</v>
      </c>
      <c r="BP81" s="1">
        <v>46</v>
      </c>
      <c r="BQ81" s="1">
        <v>25</v>
      </c>
      <c r="BR81" s="1">
        <v>91</v>
      </c>
      <c r="BS81" s="1">
        <v>0</v>
      </c>
      <c r="BT81" s="1">
        <v>2</v>
      </c>
      <c r="BU81" s="1">
        <v>380</v>
      </c>
      <c r="BV81" s="1">
        <v>97</v>
      </c>
      <c r="BW81" s="1">
        <v>392</v>
      </c>
      <c r="BX81" s="1">
        <v>0</v>
      </c>
      <c r="BY81" s="1">
        <v>14</v>
      </c>
    </row>
    <row r="82" spans="1:77">
      <c r="A82" s="1">
        <v>8</v>
      </c>
      <c r="B82" s="1" t="s">
        <v>295</v>
      </c>
      <c r="C82" s="7" t="s">
        <v>292</v>
      </c>
      <c r="D82" s="1" t="s">
        <v>457</v>
      </c>
      <c r="E82" s="1" t="s">
        <v>651</v>
      </c>
      <c r="F82" s="7" t="s">
        <v>427</v>
      </c>
      <c r="G82" s="7" t="s">
        <v>643</v>
      </c>
      <c r="H82" s="10">
        <v>90507717</v>
      </c>
      <c r="I82" s="10">
        <v>90780994</v>
      </c>
      <c r="J82" s="10">
        <v>2812121</v>
      </c>
      <c r="K82" s="48">
        <v>25094198</v>
      </c>
      <c r="L82" s="48">
        <v>16266286</v>
      </c>
      <c r="M82" s="48">
        <v>16252844</v>
      </c>
      <c r="N82" s="48">
        <v>0</v>
      </c>
      <c r="O82" s="48">
        <v>1878775</v>
      </c>
      <c r="P82" s="48">
        <v>2216387</v>
      </c>
      <c r="Q82" s="48">
        <v>1057734</v>
      </c>
      <c r="R82" s="10">
        <v>18044903</v>
      </c>
      <c r="S82" s="10">
        <v>3707742</v>
      </c>
      <c r="T82" s="10">
        <v>3483</v>
      </c>
      <c r="U82" s="10">
        <v>0</v>
      </c>
      <c r="V82" s="10">
        <v>87493565</v>
      </c>
      <c r="W82" s="12">
        <v>0.02</v>
      </c>
      <c r="X82" s="10">
        <v>30164272</v>
      </c>
      <c r="Y82" s="22">
        <f>2407684/57325810</f>
        <v>4.1999999651117011E-2</v>
      </c>
      <c r="Z82" s="10">
        <v>2407684</v>
      </c>
      <c r="AA82" s="10">
        <v>0</v>
      </c>
      <c r="AB82" s="10">
        <f>248305+19975</f>
        <v>268280</v>
      </c>
      <c r="AC82" s="10">
        <v>1354547</v>
      </c>
      <c r="AD82" s="10">
        <v>100966</v>
      </c>
      <c r="AE82" s="10">
        <v>289161</v>
      </c>
      <c r="AF82" s="10">
        <v>231922</v>
      </c>
      <c r="AG82" s="10">
        <v>7949</v>
      </c>
      <c r="AH82" s="10">
        <v>20826</v>
      </c>
      <c r="AI82" s="10">
        <v>20316</v>
      </c>
      <c r="AJ82" s="10">
        <v>55200</v>
      </c>
      <c r="AK82" s="10">
        <f>48115+50589+52474</f>
        <v>151178</v>
      </c>
      <c r="AL82" s="10">
        <v>20263</v>
      </c>
      <c r="AM82" s="10">
        <v>16279</v>
      </c>
      <c r="AN82" s="10">
        <v>86326</v>
      </c>
      <c r="AO82" s="10">
        <v>0</v>
      </c>
      <c r="AP82" s="10">
        <v>2497901</v>
      </c>
      <c r="AQ82" s="10">
        <v>2572535</v>
      </c>
      <c r="AR82" s="12">
        <f t="shared" si="9"/>
        <v>0</v>
      </c>
      <c r="AS82" s="10">
        <v>0</v>
      </c>
      <c r="AT82" s="10">
        <v>0</v>
      </c>
      <c r="AU82" s="10">
        <v>139662</v>
      </c>
      <c r="AV82" s="10">
        <v>0</v>
      </c>
      <c r="AW82" s="10">
        <v>338445</v>
      </c>
      <c r="AX82" s="10">
        <v>0</v>
      </c>
      <c r="AY82" s="10">
        <v>0</v>
      </c>
      <c r="AZ82" s="10">
        <v>0</v>
      </c>
      <c r="BA82" s="10">
        <v>12297</v>
      </c>
      <c r="BB82" s="10">
        <v>4497</v>
      </c>
      <c r="BC82" s="10">
        <v>0</v>
      </c>
      <c r="BD82" s="10">
        <v>0</v>
      </c>
      <c r="BE82" s="10">
        <v>-920</v>
      </c>
      <c r="BF82" s="10">
        <v>-2316</v>
      </c>
      <c r="BG82" s="10">
        <v>-1695</v>
      </c>
      <c r="BH82" s="10">
        <v>-19</v>
      </c>
      <c r="BI82" s="10">
        <f t="shared" si="10"/>
        <v>11844</v>
      </c>
      <c r="BJ82" s="1">
        <v>31</v>
      </c>
      <c r="BK82" s="1">
        <v>994</v>
      </c>
      <c r="BL82" s="1">
        <v>244</v>
      </c>
      <c r="BM82" s="1">
        <v>453</v>
      </c>
      <c r="BN82" s="1">
        <v>1</v>
      </c>
      <c r="BO82" s="1">
        <v>0</v>
      </c>
      <c r="BP82" s="1">
        <v>273</v>
      </c>
      <c r="BQ82" s="1">
        <v>41</v>
      </c>
      <c r="BR82" s="1">
        <v>506</v>
      </c>
      <c r="BS82" s="1">
        <v>0</v>
      </c>
      <c r="BT82" s="1">
        <v>0</v>
      </c>
      <c r="BU82" s="1">
        <v>832</v>
      </c>
      <c r="BV82" s="1">
        <v>84</v>
      </c>
      <c r="BW82" s="1">
        <v>986</v>
      </c>
      <c r="BX82" s="1">
        <v>0</v>
      </c>
      <c r="BY82" s="1">
        <v>0</v>
      </c>
    </row>
    <row r="83" spans="1:77">
      <c r="A83" s="1">
        <v>8</v>
      </c>
      <c r="B83" s="1" t="s">
        <v>352</v>
      </c>
      <c r="C83" s="7" t="s">
        <v>275</v>
      </c>
      <c r="D83" s="1" t="s">
        <v>356</v>
      </c>
      <c r="E83" s="1" t="s">
        <v>651</v>
      </c>
      <c r="F83" s="7" t="s">
        <v>205</v>
      </c>
      <c r="G83" s="7" t="s">
        <v>643</v>
      </c>
      <c r="H83" s="10">
        <v>41020746</v>
      </c>
      <c r="I83" s="10">
        <v>41060414</v>
      </c>
      <c r="J83" s="10">
        <v>691056</v>
      </c>
      <c r="K83" s="48">
        <v>9791695</v>
      </c>
      <c r="L83" s="48">
        <v>0</v>
      </c>
      <c r="M83" s="48">
        <v>0</v>
      </c>
      <c r="N83" s="48">
        <v>14636142</v>
      </c>
      <c r="O83" s="48">
        <v>0</v>
      </c>
      <c r="P83" s="48">
        <v>841084</v>
      </c>
      <c r="Q83" s="48">
        <v>0</v>
      </c>
      <c r="R83" s="10">
        <v>11346185</v>
      </c>
      <c r="S83" s="10">
        <v>1953821</v>
      </c>
      <c r="T83" s="10">
        <v>0</v>
      </c>
      <c r="U83" s="10">
        <v>0</v>
      </c>
      <c r="V83" s="10">
        <v>39907867</v>
      </c>
      <c r="W83" s="12">
        <v>7.8100000000000003E-2</v>
      </c>
      <c r="X83" s="10">
        <v>9794030</v>
      </c>
      <c r="Y83" s="22">
        <f>1050307/30113837</f>
        <v>3.4877886866426219E-2</v>
      </c>
      <c r="Z83" s="10">
        <v>1048027</v>
      </c>
      <c r="AA83" s="10">
        <v>0</v>
      </c>
      <c r="AB83" s="10">
        <f>39668+1326</f>
        <v>40994</v>
      </c>
      <c r="AC83" s="10">
        <v>508268</v>
      </c>
      <c r="AD83" s="10">
        <v>42196</v>
      </c>
      <c r="AE83" s="10">
        <v>92391</v>
      </c>
      <c r="AF83" s="10">
        <v>71568</v>
      </c>
      <c r="AG83" s="10">
        <v>0</v>
      </c>
      <c r="AH83" s="10">
        <v>24099</v>
      </c>
      <c r="AI83" s="10">
        <v>815</v>
      </c>
      <c r="AJ83" s="10">
        <v>27614</v>
      </c>
      <c r="AK83" s="10">
        <f>21304+40102+40248</f>
        <v>101654</v>
      </c>
      <c r="AL83" s="10">
        <v>9560</v>
      </c>
      <c r="AM83" s="10">
        <v>0</v>
      </c>
      <c r="AN83" s="10">
        <v>18081</v>
      </c>
      <c r="AO83" s="10">
        <v>0</v>
      </c>
      <c r="AP83" s="10">
        <v>974405</v>
      </c>
      <c r="AQ83" s="10">
        <v>989838</v>
      </c>
      <c r="AR83" s="12">
        <f t="shared" si="9"/>
        <v>0</v>
      </c>
      <c r="AS83" s="10">
        <v>0</v>
      </c>
      <c r="AT83" s="10">
        <v>0</v>
      </c>
      <c r="AU83" s="10">
        <v>139662</v>
      </c>
      <c r="AV83" s="10">
        <v>0</v>
      </c>
      <c r="AW83" s="10">
        <v>94777</v>
      </c>
      <c r="AX83" s="10">
        <v>0</v>
      </c>
      <c r="AY83" s="10">
        <v>0</v>
      </c>
      <c r="AZ83" s="10">
        <v>0</v>
      </c>
      <c r="BA83" s="10">
        <v>6470</v>
      </c>
      <c r="BB83" s="10">
        <v>2679</v>
      </c>
      <c r="BC83" s="10">
        <v>0</v>
      </c>
      <c r="BD83" s="10">
        <f>4-351</f>
        <v>-347</v>
      </c>
      <c r="BE83" s="10">
        <v>-287</v>
      </c>
      <c r="BF83" s="10">
        <v>-1278</v>
      </c>
      <c r="BG83" s="10">
        <v>-644</v>
      </c>
      <c r="BH83" s="10">
        <v>0</v>
      </c>
      <c r="BI83" s="10">
        <f t="shared" si="10"/>
        <v>6593</v>
      </c>
      <c r="BJ83" s="1">
        <v>31</v>
      </c>
      <c r="BK83" s="1">
        <v>490</v>
      </c>
      <c r="BL83" s="1">
        <v>74</v>
      </c>
      <c r="BM83" s="1">
        <v>80</v>
      </c>
      <c r="BN83" s="1">
        <v>0</v>
      </c>
      <c r="BO83" s="1">
        <v>0</v>
      </c>
      <c r="BP83" s="1" t="s">
        <v>453</v>
      </c>
      <c r="BQ83" s="1" t="s">
        <v>453</v>
      </c>
      <c r="BR83" s="1" t="s">
        <v>453</v>
      </c>
      <c r="BS83" s="1" t="s">
        <v>453</v>
      </c>
      <c r="BT83" s="1" t="s">
        <v>453</v>
      </c>
      <c r="BU83" s="1" t="s">
        <v>453</v>
      </c>
      <c r="BV83" s="1" t="s">
        <v>453</v>
      </c>
      <c r="BW83" s="1" t="s">
        <v>453</v>
      </c>
      <c r="BX83" s="1" t="s">
        <v>453</v>
      </c>
      <c r="BY83" s="1" t="s">
        <v>453</v>
      </c>
    </row>
    <row r="84" spans="1:77">
      <c r="A84" s="1">
        <v>8</v>
      </c>
      <c r="B84" s="1" t="s">
        <v>376</v>
      </c>
      <c r="C84" s="7" t="s">
        <v>703</v>
      </c>
      <c r="D84" s="1" t="s">
        <v>390</v>
      </c>
      <c r="E84" s="1" t="s">
        <v>361</v>
      </c>
      <c r="F84" s="7" t="s">
        <v>695</v>
      </c>
      <c r="G84" s="7" t="s">
        <v>351</v>
      </c>
      <c r="H84" s="10">
        <v>22280401</v>
      </c>
      <c r="I84" s="10">
        <v>22391668</v>
      </c>
      <c r="J84" s="10">
        <v>366053</v>
      </c>
      <c r="K84" s="48">
        <v>0</v>
      </c>
      <c r="L84" s="48">
        <v>0</v>
      </c>
      <c r="M84" s="48">
        <v>9714069</v>
      </c>
      <c r="N84" s="48">
        <v>0</v>
      </c>
      <c r="O84" s="48">
        <v>0</v>
      </c>
      <c r="P84" s="48">
        <v>770590</v>
      </c>
      <c r="Q84" s="48">
        <v>0</v>
      </c>
      <c r="R84" s="10">
        <v>8376319</v>
      </c>
      <c r="S84" s="10">
        <v>2069005</v>
      </c>
      <c r="T84" s="10">
        <v>0</v>
      </c>
      <c r="U84" s="10">
        <v>0</v>
      </c>
      <c r="V84" s="10">
        <v>21636778</v>
      </c>
      <c r="W84" s="12">
        <v>0.13900000000000001</v>
      </c>
      <c r="X84" s="10">
        <v>0</v>
      </c>
      <c r="Y84" s="22">
        <f>541153/21636778</f>
        <v>2.5010794121010069E-2</v>
      </c>
      <c r="Z84" s="10">
        <v>541341</v>
      </c>
      <c r="AA84" s="10">
        <v>0</v>
      </c>
      <c r="AB84" s="10">
        <f>111230+1622</f>
        <v>112852</v>
      </c>
      <c r="AC84" s="10">
        <v>247335</v>
      </c>
      <c r="AD84" s="10">
        <v>21164</v>
      </c>
      <c r="AE84" s="10">
        <v>80116</v>
      </c>
      <c r="AF84" s="10">
        <v>52461</v>
      </c>
      <c r="AG84" s="10">
        <v>14020</v>
      </c>
      <c r="AH84" s="10">
        <v>23616</v>
      </c>
      <c r="AI84" s="10">
        <v>0</v>
      </c>
      <c r="AJ84" s="10">
        <v>0</v>
      </c>
      <c r="AK84" s="10">
        <f>4995+20159+8802</f>
        <v>33956</v>
      </c>
      <c r="AL84" s="10">
        <v>6809</v>
      </c>
      <c r="AM84" s="10">
        <v>725</v>
      </c>
      <c r="AN84" s="10">
        <v>6950</v>
      </c>
      <c r="AO84" s="10">
        <v>48974</v>
      </c>
      <c r="AP84" s="10">
        <v>531380</v>
      </c>
      <c r="AQ84" s="10">
        <v>552700</v>
      </c>
      <c r="AR84" s="12">
        <f t="shared" si="9"/>
        <v>9.216379991719674E-2</v>
      </c>
      <c r="AS84" s="10">
        <v>0</v>
      </c>
      <c r="AT84" s="10">
        <v>0</v>
      </c>
      <c r="AU84" s="10">
        <v>139662</v>
      </c>
      <c r="AV84" s="10">
        <v>0</v>
      </c>
      <c r="AW84" s="10">
        <v>59218</v>
      </c>
      <c r="AX84" s="10">
        <v>0</v>
      </c>
      <c r="AY84" s="10">
        <v>0</v>
      </c>
      <c r="AZ84" s="10">
        <v>0</v>
      </c>
      <c r="BA84" s="10">
        <v>5266</v>
      </c>
      <c r="BB84" s="10">
        <v>2380</v>
      </c>
      <c r="BC84" s="10">
        <v>0</v>
      </c>
      <c r="BD84" s="10">
        <v>-2</v>
      </c>
      <c r="BE84" s="10">
        <v>-500</v>
      </c>
      <c r="BF84" s="10">
        <v>-1120</v>
      </c>
      <c r="BG84" s="10">
        <v>-712</v>
      </c>
      <c r="BH84" s="10">
        <v>-8</v>
      </c>
      <c r="BI84" s="10">
        <f t="shared" si="10"/>
        <v>5304</v>
      </c>
      <c r="BJ84" s="1">
        <v>21</v>
      </c>
      <c r="BK84" s="1">
        <v>673</v>
      </c>
      <c r="BL84" s="1">
        <v>23</v>
      </c>
      <c r="BM84" s="1">
        <v>16</v>
      </c>
      <c r="BN84" s="1">
        <v>0</v>
      </c>
      <c r="BO84" s="1">
        <v>0</v>
      </c>
      <c r="BP84" s="1">
        <v>394</v>
      </c>
      <c r="BQ84" s="1">
        <v>20</v>
      </c>
      <c r="BR84" s="1">
        <v>18</v>
      </c>
      <c r="BS84" s="1">
        <v>0</v>
      </c>
      <c r="BT84" s="1">
        <v>0</v>
      </c>
      <c r="BU84" s="1">
        <v>772</v>
      </c>
      <c r="BV84" s="1">
        <v>40</v>
      </c>
      <c r="BW84" s="1">
        <v>53</v>
      </c>
      <c r="BX84" s="1">
        <v>0</v>
      </c>
      <c r="BY84" s="1">
        <v>0</v>
      </c>
    </row>
    <row r="85" spans="1:77">
      <c r="A85" s="1">
        <v>8</v>
      </c>
      <c r="B85" s="1" t="s">
        <v>628</v>
      </c>
      <c r="C85" s="7" t="s">
        <v>258</v>
      </c>
      <c r="D85" s="1" t="s">
        <v>416</v>
      </c>
      <c r="E85" s="1" t="s">
        <v>651</v>
      </c>
      <c r="F85" s="7" t="s">
        <v>695</v>
      </c>
      <c r="G85" s="7" t="s">
        <v>643</v>
      </c>
      <c r="H85" s="10">
        <v>81622303</v>
      </c>
      <c r="I85" s="10">
        <v>81885970</v>
      </c>
      <c r="J85" s="10">
        <v>2128297</v>
      </c>
      <c r="K85" s="48">
        <v>29621588</v>
      </c>
      <c r="L85" s="48">
        <v>4700385</v>
      </c>
      <c r="M85" s="48">
        <v>22615538</v>
      </c>
      <c r="N85" s="48">
        <v>0</v>
      </c>
      <c r="O85" s="48">
        <v>830615</v>
      </c>
      <c r="P85" s="48">
        <v>2854017</v>
      </c>
      <c r="Q85" s="48">
        <v>0</v>
      </c>
      <c r="R85" s="10">
        <v>9416511</v>
      </c>
      <c r="S85" s="10">
        <v>3153818</v>
      </c>
      <c r="T85" s="10">
        <v>0</v>
      </c>
      <c r="U85" s="10">
        <v>0</v>
      </c>
      <c r="V85" s="10">
        <v>79025420</v>
      </c>
      <c r="W85" s="12">
        <v>0.08</v>
      </c>
      <c r="X85" s="10">
        <f>29621588+830615</f>
        <v>30452203</v>
      </c>
      <c r="Y85" s="22">
        <f>1922309/48473351</f>
        <v>3.9657027218935201E-2</v>
      </c>
      <c r="Z85" s="10">
        <v>1921905</v>
      </c>
      <c r="AA85" s="10">
        <v>0</v>
      </c>
      <c r="AB85" s="10">
        <f>242240+21000</f>
        <v>263240</v>
      </c>
      <c r="AC85" s="10">
        <v>962955</v>
      </c>
      <c r="AD85" s="10">
        <v>74988</v>
      </c>
      <c r="AE85" s="10">
        <v>271802</v>
      </c>
      <c r="AF85" s="10">
        <v>157330</v>
      </c>
      <c r="AG85" s="10">
        <v>0</v>
      </c>
      <c r="AH85" s="10">
        <v>23769</v>
      </c>
      <c r="AI85" s="10">
        <v>2377</v>
      </c>
      <c r="AJ85" s="10">
        <v>0</v>
      </c>
      <c r="AK85" s="10">
        <f>25338+91858+71676</f>
        <v>188872</v>
      </c>
      <c r="AL85" s="10">
        <v>15903</v>
      </c>
      <c r="AM85" s="10">
        <v>0</v>
      </c>
      <c r="AN85" s="10">
        <v>52682</v>
      </c>
      <c r="AO85" s="10">
        <v>0</v>
      </c>
      <c r="AP85" s="10">
        <v>1853977</v>
      </c>
      <c r="AQ85" s="10">
        <v>1984114</v>
      </c>
      <c r="AR85" s="12">
        <f t="shared" si="9"/>
        <v>0</v>
      </c>
      <c r="AS85" s="10">
        <v>653</v>
      </c>
      <c r="AT85" s="10">
        <v>0</v>
      </c>
      <c r="AU85" s="10">
        <v>139662</v>
      </c>
      <c r="AV85" s="10">
        <v>0</v>
      </c>
      <c r="AW85" s="10">
        <v>194758</v>
      </c>
      <c r="AX85" s="10">
        <v>0</v>
      </c>
      <c r="AY85" s="10">
        <v>0</v>
      </c>
      <c r="AZ85" s="10">
        <v>0</v>
      </c>
      <c r="BA85" s="10">
        <v>13951</v>
      </c>
      <c r="BB85" s="10">
        <v>6229</v>
      </c>
      <c r="BC85" s="10">
        <v>0</v>
      </c>
      <c r="BD85" s="10">
        <v>-4</v>
      </c>
      <c r="BE85" s="10">
        <v>-456</v>
      </c>
      <c r="BF85" s="10">
        <v>-4302</v>
      </c>
      <c r="BG85" s="10">
        <v>-1463</v>
      </c>
      <c r="BH85" s="10">
        <v>0</v>
      </c>
      <c r="BI85" s="10">
        <f t="shared" si="10"/>
        <v>13955</v>
      </c>
      <c r="BJ85" s="1">
        <v>113</v>
      </c>
      <c r="BK85" s="1">
        <v>759</v>
      </c>
      <c r="BL85" s="1">
        <v>202</v>
      </c>
      <c r="BM85" s="1">
        <v>466</v>
      </c>
      <c r="BN85" s="1">
        <v>1</v>
      </c>
      <c r="BO85" s="1">
        <v>35</v>
      </c>
      <c r="BP85" s="1">
        <v>4</v>
      </c>
      <c r="BQ85" s="1">
        <v>14</v>
      </c>
      <c r="BR85" s="1">
        <v>145</v>
      </c>
      <c r="BS85" s="1">
        <v>247</v>
      </c>
      <c r="BT85" s="1">
        <v>3</v>
      </c>
      <c r="BU85" s="1">
        <v>48</v>
      </c>
      <c r="BV85" s="1">
        <v>81</v>
      </c>
      <c r="BW85" s="1">
        <v>671</v>
      </c>
      <c r="BX85" s="1">
        <v>2096</v>
      </c>
      <c r="BY85" s="1">
        <v>68</v>
      </c>
    </row>
    <row r="86" spans="1:77">
      <c r="A86" s="1">
        <v>8</v>
      </c>
      <c r="B86" s="1" t="s">
        <v>630</v>
      </c>
      <c r="C86" s="7" t="s">
        <v>105</v>
      </c>
      <c r="D86" s="1" t="s">
        <v>124</v>
      </c>
      <c r="E86" s="1" t="s">
        <v>651</v>
      </c>
      <c r="F86" s="7" t="s">
        <v>205</v>
      </c>
      <c r="G86" s="7" t="s">
        <v>643</v>
      </c>
      <c r="H86" s="10">
        <v>63033770</v>
      </c>
      <c r="I86" s="10">
        <v>63222194</v>
      </c>
      <c r="J86" s="10">
        <v>746228</v>
      </c>
      <c r="K86" s="48">
        <v>1435664</v>
      </c>
      <c r="L86" s="48">
        <v>0</v>
      </c>
      <c r="M86" s="48">
        <v>4972764</v>
      </c>
      <c r="N86" s="48">
        <v>35532743</v>
      </c>
      <c r="O86" s="48">
        <v>6708</v>
      </c>
      <c r="P86" s="48">
        <v>64860</v>
      </c>
      <c r="Q86" s="48">
        <v>1476542</v>
      </c>
      <c r="R86" s="10">
        <v>13416220</v>
      </c>
      <c r="S86" s="10">
        <v>2737309</v>
      </c>
      <c r="T86" s="10">
        <v>0</v>
      </c>
      <c r="U86" s="10">
        <v>0</v>
      </c>
      <c r="V86" s="10">
        <v>61480623</v>
      </c>
      <c r="W86" s="12">
        <v>9.64E-2</v>
      </c>
      <c r="X86" s="10">
        <v>15286023</v>
      </c>
      <c r="Y86" s="22">
        <f>1385838/46194600</f>
        <v>0.03</v>
      </c>
      <c r="Z86" s="10">
        <v>1385838</v>
      </c>
      <c r="AA86" s="10">
        <v>0</v>
      </c>
      <c r="AB86" s="10">
        <f>188424+3598</f>
        <v>192022</v>
      </c>
      <c r="AC86" s="10">
        <v>761946</v>
      </c>
      <c r="AD86" s="10">
        <v>60619</v>
      </c>
      <c r="AE86" s="10">
        <v>103786</v>
      </c>
      <c r="AF86" s="10">
        <v>103493</v>
      </c>
      <c r="AG86" s="10">
        <v>1092</v>
      </c>
      <c r="AH86" s="10">
        <v>53512</v>
      </c>
      <c r="AI86" s="10">
        <v>5452</v>
      </c>
      <c r="AJ86" s="10">
        <v>28246</v>
      </c>
      <c r="AK86" s="10">
        <f>23370+33517+116536</f>
        <v>173423</v>
      </c>
      <c r="AL86" s="10">
        <v>11090</v>
      </c>
      <c r="AM86" s="10">
        <v>27935</v>
      </c>
      <c r="AN86" s="10">
        <v>16356</v>
      </c>
      <c r="AO86" s="10">
        <v>0</v>
      </c>
      <c r="AP86" s="10">
        <v>1394919</v>
      </c>
      <c r="AQ86" s="10">
        <v>1475217</v>
      </c>
      <c r="AR86" s="12">
        <f t="shared" si="9"/>
        <v>0</v>
      </c>
      <c r="AS86" s="10">
        <v>0</v>
      </c>
      <c r="AT86" s="10">
        <v>0</v>
      </c>
      <c r="AU86" s="10">
        <v>139662</v>
      </c>
      <c r="AV86" s="10">
        <v>0</v>
      </c>
      <c r="AW86" s="10">
        <v>149643</v>
      </c>
      <c r="AX86" s="10">
        <v>0</v>
      </c>
      <c r="AY86" s="10">
        <v>0</v>
      </c>
      <c r="AZ86" s="10">
        <v>0</v>
      </c>
      <c r="BA86" s="10">
        <v>9459</v>
      </c>
      <c r="BB86" s="10">
        <v>3867</v>
      </c>
      <c r="BC86" s="10">
        <v>1427</v>
      </c>
      <c r="BD86" s="10">
        <v>0</v>
      </c>
      <c r="BE86" s="10">
        <v>-934</v>
      </c>
      <c r="BF86" s="10">
        <v>-2232</v>
      </c>
      <c r="BG86" s="10">
        <v>-2211</v>
      </c>
      <c r="BH86" s="10">
        <v>0</v>
      </c>
      <c r="BI86" s="10">
        <f t="shared" si="10"/>
        <v>9376</v>
      </c>
      <c r="BJ86" s="1">
        <v>209</v>
      </c>
      <c r="BK86" s="1">
        <v>1100</v>
      </c>
      <c r="BL86" s="1">
        <v>57</v>
      </c>
      <c r="BM86" s="1">
        <v>189</v>
      </c>
      <c r="BN86" s="1">
        <v>2</v>
      </c>
      <c r="BO86" s="1">
        <v>1</v>
      </c>
      <c r="BP86" s="1" t="s">
        <v>453</v>
      </c>
      <c r="BQ86" s="1" t="s">
        <v>453</v>
      </c>
      <c r="BR86" s="1" t="s">
        <v>453</v>
      </c>
      <c r="BS86" s="1" t="s">
        <v>453</v>
      </c>
      <c r="BT86" s="1" t="s">
        <v>453</v>
      </c>
      <c r="BU86" s="1" t="s">
        <v>453</v>
      </c>
      <c r="BV86" s="1" t="s">
        <v>453</v>
      </c>
      <c r="BW86" s="1" t="s">
        <v>453</v>
      </c>
      <c r="BX86" s="1" t="s">
        <v>453</v>
      </c>
      <c r="BY86" s="1" t="s">
        <v>453</v>
      </c>
    </row>
    <row r="87" spans="1:77">
      <c r="A87" s="1">
        <v>9</v>
      </c>
      <c r="B87" s="1" t="s">
        <v>70</v>
      </c>
      <c r="C87" s="7" t="s">
        <v>112</v>
      </c>
      <c r="D87" s="1" t="s">
        <v>238</v>
      </c>
      <c r="E87" s="1" t="s">
        <v>423</v>
      </c>
      <c r="F87" s="7" t="s">
        <v>205</v>
      </c>
      <c r="G87" s="7" t="s">
        <v>425</v>
      </c>
      <c r="H87" s="10">
        <v>15123275</v>
      </c>
      <c r="I87" s="10">
        <v>15225635</v>
      </c>
      <c r="J87" s="10">
        <v>531289</v>
      </c>
      <c r="K87" s="48">
        <v>728079</v>
      </c>
      <c r="L87" s="48">
        <v>65357</v>
      </c>
      <c r="M87" s="48">
        <v>9698407</v>
      </c>
      <c r="N87" s="48">
        <v>0</v>
      </c>
      <c r="O87" s="48">
        <v>0</v>
      </c>
      <c r="P87" s="48">
        <v>764552</v>
      </c>
      <c r="Q87" s="48">
        <v>0</v>
      </c>
      <c r="R87" s="10">
        <v>2236127</v>
      </c>
      <c r="S87" s="10">
        <v>488411</v>
      </c>
      <c r="T87" s="10">
        <v>0</v>
      </c>
      <c r="U87" s="10">
        <v>0</v>
      </c>
      <c r="V87" s="10">
        <v>14661792</v>
      </c>
      <c r="W87" s="12">
        <v>0.1111</v>
      </c>
      <c r="X87" s="10">
        <v>0</v>
      </c>
      <c r="Y87" s="22">
        <f>671398/14661792</f>
        <v>4.5792356077619979E-2</v>
      </c>
      <c r="Z87" s="10">
        <v>657643</v>
      </c>
      <c r="AA87" s="3">
        <v>0</v>
      </c>
      <c r="AB87" s="10">
        <f>99672+7604</f>
        <v>107276</v>
      </c>
      <c r="AC87" s="10">
        <v>250248</v>
      </c>
      <c r="AD87" s="10">
        <v>23118</v>
      </c>
      <c r="AE87" s="10">
        <v>46465</v>
      </c>
      <c r="AF87" s="10">
        <f>33756+6697</f>
        <v>40453</v>
      </c>
      <c r="AG87" s="10">
        <v>22739</v>
      </c>
      <c r="AH87" s="10">
        <v>23819</v>
      </c>
      <c r="AI87" s="10">
        <v>6130</v>
      </c>
      <c r="AJ87" s="10">
        <v>0</v>
      </c>
      <c r="AK87" s="10">
        <f>12763+21823+25723</f>
        <v>60309</v>
      </c>
      <c r="AL87" s="10">
        <v>7103</v>
      </c>
      <c r="AM87" s="10">
        <v>521</v>
      </c>
      <c r="AN87" s="10">
        <v>8848</v>
      </c>
      <c r="AO87" s="10">
        <v>0</v>
      </c>
      <c r="AP87" s="10">
        <v>605243</v>
      </c>
      <c r="AQ87" s="10">
        <v>603478</v>
      </c>
      <c r="AR87" s="12">
        <f t="shared" si="9"/>
        <v>0</v>
      </c>
      <c r="AS87" s="10">
        <v>0</v>
      </c>
      <c r="AT87" s="10">
        <v>0</v>
      </c>
      <c r="AU87" s="10">
        <v>139662</v>
      </c>
      <c r="AV87" s="10">
        <v>0</v>
      </c>
      <c r="AW87" s="10">
        <v>101296</v>
      </c>
      <c r="AX87" s="10">
        <v>0</v>
      </c>
      <c r="AY87" s="10">
        <v>0</v>
      </c>
      <c r="AZ87" s="10">
        <v>0</v>
      </c>
      <c r="BA87" s="10">
        <v>1570</v>
      </c>
      <c r="BB87" s="10">
        <v>561</v>
      </c>
      <c r="BC87" s="10">
        <v>0</v>
      </c>
      <c r="BD87" s="10">
        <f>5+11-1</f>
        <v>15</v>
      </c>
      <c r="BE87" s="10">
        <v>-134</v>
      </c>
      <c r="BF87" s="10">
        <v>-194</v>
      </c>
      <c r="BG87" s="10">
        <v>-180</v>
      </c>
      <c r="BH87" s="10">
        <v>-3</v>
      </c>
      <c r="BI87" s="10">
        <f t="shared" si="10"/>
        <v>1635</v>
      </c>
      <c r="BJ87" s="1">
        <v>2</v>
      </c>
      <c r="BK87" s="1">
        <v>70</v>
      </c>
      <c r="BL87" s="1">
        <v>20</v>
      </c>
      <c r="BM87" s="1">
        <v>79</v>
      </c>
      <c r="BN87" s="1">
        <v>10</v>
      </c>
      <c r="BO87" s="1">
        <v>4</v>
      </c>
      <c r="BP87" s="1">
        <v>2</v>
      </c>
      <c r="BQ87" s="1">
        <v>1</v>
      </c>
      <c r="BR87" s="1">
        <v>17</v>
      </c>
      <c r="BS87" s="1">
        <v>78</v>
      </c>
      <c r="BT87" s="1">
        <v>4</v>
      </c>
      <c r="BU87" s="1">
        <v>0</v>
      </c>
      <c r="BV87" s="1">
        <v>0</v>
      </c>
      <c r="BW87" s="1">
        <v>0</v>
      </c>
      <c r="BX87" s="1">
        <v>70</v>
      </c>
      <c r="BY87" s="1">
        <v>18</v>
      </c>
    </row>
    <row r="88" spans="1:77">
      <c r="A88" s="1">
        <v>9</v>
      </c>
      <c r="B88" s="1" t="s">
        <v>79</v>
      </c>
      <c r="C88" s="1" t="s">
        <v>333</v>
      </c>
      <c r="D88" s="1" t="s">
        <v>367</v>
      </c>
      <c r="E88" s="1" t="s">
        <v>423</v>
      </c>
      <c r="F88" s="7" t="s">
        <v>695</v>
      </c>
      <c r="G88" s="7" t="s">
        <v>425</v>
      </c>
      <c r="H88" s="10">
        <v>6540370</v>
      </c>
      <c r="I88" s="10">
        <v>6550854</v>
      </c>
      <c r="J88" s="10">
        <v>214864</v>
      </c>
      <c r="K88" s="48">
        <v>1978458</v>
      </c>
      <c r="L88" s="48">
        <v>220839</v>
      </c>
      <c r="M88" s="48">
        <v>1505842</v>
      </c>
      <c r="N88" s="48">
        <v>0</v>
      </c>
      <c r="O88" s="48">
        <v>0</v>
      </c>
      <c r="P88" s="48">
        <v>481134</v>
      </c>
      <c r="Q88" s="48">
        <v>0</v>
      </c>
      <c r="R88" s="10">
        <v>1536601</v>
      </c>
      <c r="S88" s="10">
        <v>229074</v>
      </c>
      <c r="T88" s="10">
        <v>0</v>
      </c>
      <c r="U88" s="10">
        <v>2805</v>
      </c>
      <c r="V88" s="10">
        <v>6238773</v>
      </c>
      <c r="W88" s="12">
        <v>0.11743000000000001</v>
      </c>
      <c r="X88" s="10">
        <v>0</v>
      </c>
      <c r="Y88" s="22">
        <f>278729/6238773</f>
        <v>4.4676893998226892E-2</v>
      </c>
      <c r="Z88" s="10">
        <v>278686</v>
      </c>
      <c r="AA88" s="10">
        <v>0</v>
      </c>
      <c r="AB88" s="10">
        <f>10484+382</f>
        <v>10866</v>
      </c>
      <c r="AC88" s="10">
        <v>63964</v>
      </c>
      <c r="AD88" s="10">
        <v>5587</v>
      </c>
      <c r="AE88" s="10">
        <v>5871</v>
      </c>
      <c r="AF88" s="10">
        <v>13932</v>
      </c>
      <c r="AG88" s="10">
        <v>7085</v>
      </c>
      <c r="AH88" s="10">
        <v>5424</v>
      </c>
      <c r="AI88" s="10">
        <v>0</v>
      </c>
      <c r="AJ88" s="10">
        <v>1424</v>
      </c>
      <c r="AK88" s="10">
        <f>1584+7085+6638</f>
        <v>15307</v>
      </c>
      <c r="AL88" s="10">
        <v>2354</v>
      </c>
      <c r="AM88" s="10">
        <v>970</v>
      </c>
      <c r="AN88" s="10">
        <v>858</v>
      </c>
      <c r="AO88" s="10">
        <v>0</v>
      </c>
      <c r="AP88" s="10">
        <v>153979</v>
      </c>
      <c r="AQ88" s="10">
        <v>155025</v>
      </c>
      <c r="AR88" s="12">
        <f t="shared" si="9"/>
        <v>0</v>
      </c>
      <c r="AS88" s="10">
        <v>0</v>
      </c>
      <c r="AT88" s="10">
        <v>0</v>
      </c>
      <c r="AU88" s="10">
        <v>139662</v>
      </c>
      <c r="AV88" s="10">
        <v>0</v>
      </c>
      <c r="AW88" s="10">
        <v>15819</v>
      </c>
      <c r="AX88" s="10">
        <v>0</v>
      </c>
      <c r="AY88" s="10">
        <v>0</v>
      </c>
      <c r="AZ88" s="10">
        <v>0</v>
      </c>
      <c r="BA88" s="10">
        <v>690</v>
      </c>
      <c r="BB88" s="10">
        <v>203</v>
      </c>
      <c r="BC88" s="10">
        <v>41</v>
      </c>
      <c r="BD88" s="10">
        <f>9-2</f>
        <v>7</v>
      </c>
      <c r="BE88" s="10">
        <v>-75</v>
      </c>
      <c r="BF88" s="10">
        <v>-90</v>
      </c>
      <c r="BG88" s="10">
        <v>-130</v>
      </c>
      <c r="BH88" s="10">
        <v>0</v>
      </c>
      <c r="BI88" s="10">
        <f t="shared" si="10"/>
        <v>646</v>
      </c>
      <c r="BJ88" s="1">
        <v>2</v>
      </c>
      <c r="BK88" s="1">
        <v>40</v>
      </c>
      <c r="BL88" s="1">
        <v>20</v>
      </c>
      <c r="BM88" s="1">
        <v>70</v>
      </c>
      <c r="BN88" s="1">
        <v>0</v>
      </c>
      <c r="BO88" s="1">
        <v>0</v>
      </c>
      <c r="BP88" s="1" t="s">
        <v>453</v>
      </c>
      <c r="BQ88" s="1" t="s">
        <v>453</v>
      </c>
      <c r="BR88" s="1" t="s">
        <v>453</v>
      </c>
      <c r="BS88" s="1" t="s">
        <v>453</v>
      </c>
      <c r="BT88" s="1" t="s">
        <v>453</v>
      </c>
      <c r="BU88" s="1" t="s">
        <v>453</v>
      </c>
      <c r="BV88" s="1" t="s">
        <v>453</v>
      </c>
      <c r="BW88" s="1" t="s">
        <v>453</v>
      </c>
      <c r="BX88" s="1" t="s">
        <v>453</v>
      </c>
      <c r="BY88" s="1" t="s">
        <v>453</v>
      </c>
    </row>
    <row r="89" spans="1:77">
      <c r="A89" s="1">
        <v>9</v>
      </c>
      <c r="B89" s="1" t="s">
        <v>102</v>
      </c>
      <c r="C89" s="7" t="s">
        <v>403</v>
      </c>
      <c r="D89" s="1" t="s">
        <v>132</v>
      </c>
      <c r="E89" s="1" t="s">
        <v>489</v>
      </c>
      <c r="F89" s="7" t="s">
        <v>617</v>
      </c>
      <c r="G89" s="7" t="s">
        <v>490</v>
      </c>
      <c r="H89" s="10">
        <v>16524771</v>
      </c>
      <c r="I89" s="10">
        <v>16536851</v>
      </c>
      <c r="J89" s="10">
        <v>590521</v>
      </c>
      <c r="K89" s="48">
        <v>2424</v>
      </c>
      <c r="L89" s="48">
        <v>451700</v>
      </c>
      <c r="M89" s="48">
        <v>7600184</v>
      </c>
      <c r="N89" s="48">
        <v>0</v>
      </c>
      <c r="O89" s="48">
        <v>2549</v>
      </c>
      <c r="P89" s="48">
        <v>876688</v>
      </c>
      <c r="Q89" s="48">
        <v>0</v>
      </c>
      <c r="R89" s="10">
        <v>5415508</v>
      </c>
      <c r="S89" s="10">
        <v>704829</v>
      </c>
      <c r="T89" s="10">
        <v>3650</v>
      </c>
      <c r="U89" s="10">
        <v>49165</v>
      </c>
      <c r="V89" s="10">
        <v>15864500</v>
      </c>
      <c r="W89" s="12">
        <v>4.6899999999999997E-2</v>
      </c>
      <c r="X89" s="10">
        <v>0</v>
      </c>
      <c r="Y89" s="22">
        <f>754929/15808821</f>
        <v>4.7753656012677982E-2</v>
      </c>
      <c r="Z89" s="10">
        <v>754939</v>
      </c>
      <c r="AA89" s="10">
        <v>0</v>
      </c>
      <c r="AB89" s="10">
        <f>12080+326</f>
        <v>12406</v>
      </c>
      <c r="AC89" s="10">
        <v>355251</v>
      </c>
      <c r="AD89" s="10">
        <v>28090</v>
      </c>
      <c r="AE89" s="10">
        <v>71828</v>
      </c>
      <c r="AF89" s="10">
        <f>44092+7080</f>
        <v>51172</v>
      </c>
      <c r="AG89" s="10">
        <v>1955</v>
      </c>
      <c r="AH89" s="10">
        <v>24388</v>
      </c>
      <c r="AI89" s="10">
        <v>0</v>
      </c>
      <c r="AJ89" s="10">
        <v>28715</v>
      </c>
      <c r="AK89" s="10">
        <f>14148+8103+15095</f>
        <v>37346</v>
      </c>
      <c r="AL89" s="10">
        <v>9261</v>
      </c>
      <c r="AM89" s="10">
        <v>23083</v>
      </c>
      <c r="AN89" s="10">
        <v>16554</v>
      </c>
      <c r="AO89" s="10">
        <v>0</v>
      </c>
      <c r="AP89" s="10">
        <v>701235</v>
      </c>
      <c r="AQ89" s="10">
        <v>703123</v>
      </c>
      <c r="AR89" s="12">
        <f t="shared" si="9"/>
        <v>0</v>
      </c>
      <c r="AS89" s="10">
        <v>0</v>
      </c>
      <c r="AT89" s="10">
        <v>0</v>
      </c>
      <c r="AU89" s="10">
        <v>139662</v>
      </c>
      <c r="AV89" s="10">
        <v>0</v>
      </c>
      <c r="AW89" s="10">
        <v>87827</v>
      </c>
      <c r="AX89" s="10">
        <v>0</v>
      </c>
      <c r="AY89" s="10">
        <v>0</v>
      </c>
      <c r="AZ89" s="10">
        <v>0</v>
      </c>
      <c r="BA89" s="10">
        <v>3173</v>
      </c>
      <c r="BB89" s="10">
        <v>1337</v>
      </c>
      <c r="BC89" s="10">
        <v>0</v>
      </c>
      <c r="BD89" s="10">
        <f>2-4</f>
        <v>-2</v>
      </c>
      <c r="BE89" s="10">
        <v>-175</v>
      </c>
      <c r="BF89" s="10">
        <v>-443</v>
      </c>
      <c r="BG89" s="10">
        <v>-472</v>
      </c>
      <c r="BH89" s="10">
        <v>-7</v>
      </c>
      <c r="BI89" s="10">
        <f t="shared" si="10"/>
        <v>3411</v>
      </c>
      <c r="BJ89" s="1">
        <v>4</v>
      </c>
      <c r="BK89" s="1">
        <v>316</v>
      </c>
      <c r="BL89" s="1">
        <v>71</v>
      </c>
      <c r="BM89" s="1">
        <v>68</v>
      </c>
      <c r="BN89" s="1">
        <v>0</v>
      </c>
      <c r="BO89" s="1">
        <v>17</v>
      </c>
      <c r="BP89" s="1">
        <v>2</v>
      </c>
      <c r="BQ89" s="1">
        <v>3</v>
      </c>
      <c r="BR89" s="1">
        <v>48</v>
      </c>
      <c r="BS89" s="1">
        <v>96</v>
      </c>
      <c r="BT89" s="1">
        <v>0</v>
      </c>
      <c r="BU89" s="1">
        <v>9</v>
      </c>
      <c r="BV89" s="1">
        <v>24</v>
      </c>
      <c r="BW89" s="1">
        <v>88</v>
      </c>
      <c r="BX89" s="1">
        <v>195</v>
      </c>
      <c r="BY89" s="1">
        <v>59</v>
      </c>
    </row>
    <row r="90" spans="1:77">
      <c r="A90" s="31">
        <v>9</v>
      </c>
      <c r="B90" s="1" t="s">
        <v>115</v>
      </c>
      <c r="C90" s="61" t="s">
        <v>357</v>
      </c>
      <c r="D90" s="7" t="s">
        <v>186</v>
      </c>
      <c r="E90" s="7" t="s">
        <v>423</v>
      </c>
      <c r="F90" s="7" t="s">
        <v>205</v>
      </c>
      <c r="G90" s="7" t="s">
        <v>425</v>
      </c>
      <c r="H90" s="10">
        <v>12737488</v>
      </c>
      <c r="I90" s="10">
        <v>14233043</v>
      </c>
      <c r="J90" s="10">
        <v>393417</v>
      </c>
      <c r="K90" s="48">
        <v>4313059</v>
      </c>
      <c r="L90" s="48">
        <v>560286</v>
      </c>
      <c r="M90" s="48">
        <v>2440276</v>
      </c>
      <c r="N90" s="48">
        <v>0</v>
      </c>
      <c r="O90" s="48">
        <v>0</v>
      </c>
      <c r="P90" s="48">
        <v>215265</v>
      </c>
      <c r="Q90" s="48">
        <v>0</v>
      </c>
      <c r="R90" s="10">
        <v>1500088</v>
      </c>
      <c r="S90" s="10">
        <v>966727</v>
      </c>
      <c r="T90" s="10">
        <v>11416</v>
      </c>
      <c r="U90" s="10">
        <v>0</v>
      </c>
      <c r="V90" s="10">
        <v>10620496</v>
      </c>
      <c r="W90" s="12">
        <v>0.28370000000000001</v>
      </c>
      <c r="X90" s="10">
        <v>0</v>
      </c>
      <c r="Y90" s="22">
        <f>535550/10558152</f>
        <v>5.0723838793000894E-2</v>
      </c>
      <c r="Z90" s="10">
        <v>534769</v>
      </c>
      <c r="AA90" s="10">
        <v>0</v>
      </c>
      <c r="AB90" s="10">
        <f>44331+1130</f>
        <v>45461</v>
      </c>
      <c r="AC90" s="10">
        <v>253706</v>
      </c>
      <c r="AD90" s="10">
        <v>23942</v>
      </c>
      <c r="AE90" s="10">
        <v>50119</v>
      </c>
      <c r="AF90" s="10">
        <f>57871+4564</f>
        <v>62435</v>
      </c>
      <c r="AG90" s="10">
        <v>568</v>
      </c>
      <c r="AH90" s="10">
        <v>8340</v>
      </c>
      <c r="AI90" s="10">
        <v>8400</v>
      </c>
      <c r="AJ90" s="10">
        <v>0</v>
      </c>
      <c r="AK90" s="10">
        <f>9664+10272+29014</f>
        <v>48950</v>
      </c>
      <c r="AL90" s="10">
        <v>10327</v>
      </c>
      <c r="AM90" s="10">
        <v>696</v>
      </c>
      <c r="AN90" s="10">
        <v>13312</v>
      </c>
      <c r="AO90" s="10">
        <v>0</v>
      </c>
      <c r="AP90" s="10">
        <v>520061</v>
      </c>
      <c r="AQ90" s="10">
        <v>558073</v>
      </c>
      <c r="AR90" s="12">
        <f t="shared" si="9"/>
        <v>0</v>
      </c>
      <c r="AS90" s="10">
        <v>0</v>
      </c>
      <c r="AT90" s="10">
        <v>0</v>
      </c>
      <c r="AU90" s="10">
        <v>70429</v>
      </c>
      <c r="AV90" s="10">
        <v>0</v>
      </c>
      <c r="AW90" s="10">
        <v>151157</v>
      </c>
      <c r="AX90" s="10">
        <v>0</v>
      </c>
      <c r="AY90" s="10">
        <v>0</v>
      </c>
      <c r="AZ90" s="10">
        <v>0</v>
      </c>
      <c r="BA90" s="10">
        <v>0</v>
      </c>
      <c r="BB90" s="10">
        <v>958</v>
      </c>
      <c r="BC90" s="10">
        <v>0</v>
      </c>
      <c r="BD90" s="10">
        <f>3246-7</f>
        <v>3239</v>
      </c>
      <c r="BE90" s="10">
        <v>-75</v>
      </c>
      <c r="BF90" s="10">
        <v>-542</v>
      </c>
      <c r="BG90" s="10">
        <v>-51</v>
      </c>
      <c r="BH90" s="10">
        <v>0</v>
      </c>
      <c r="BI90" s="10">
        <f t="shared" si="10"/>
        <v>3529</v>
      </c>
      <c r="BJ90" s="1">
        <v>0</v>
      </c>
      <c r="BK90" s="1">
        <v>36</v>
      </c>
      <c r="BL90" s="1">
        <v>4</v>
      </c>
      <c r="BM90" s="1">
        <v>1</v>
      </c>
      <c r="BN90" s="1">
        <v>3</v>
      </c>
      <c r="BO90" s="1">
        <v>7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</row>
    <row r="91" spans="1:77">
      <c r="A91" s="31">
        <v>9</v>
      </c>
      <c r="B91" s="1" t="s">
        <v>131</v>
      </c>
      <c r="C91" s="1" t="s">
        <v>339</v>
      </c>
      <c r="D91" s="1" t="s">
        <v>342</v>
      </c>
      <c r="E91" s="1" t="s">
        <v>423</v>
      </c>
      <c r="F91" s="7" t="s">
        <v>695</v>
      </c>
      <c r="G91" s="7" t="s">
        <v>425</v>
      </c>
      <c r="H91" s="10">
        <v>5369502</v>
      </c>
      <c r="I91" s="10">
        <v>5406148</v>
      </c>
      <c r="J91" s="10">
        <v>190798</v>
      </c>
      <c r="K91" s="48">
        <v>0</v>
      </c>
      <c r="L91" s="48">
        <v>0</v>
      </c>
      <c r="M91" s="48">
        <v>0</v>
      </c>
      <c r="N91" s="48">
        <v>2925699</v>
      </c>
      <c r="O91" s="48">
        <v>0</v>
      </c>
      <c r="P91" s="48">
        <v>0</v>
      </c>
      <c r="Q91" s="48">
        <v>276771</v>
      </c>
      <c r="R91" s="10">
        <v>1484817</v>
      </c>
      <c r="S91" s="10">
        <v>264163</v>
      </c>
      <c r="T91" s="10">
        <v>0</v>
      </c>
      <c r="U91" s="10">
        <v>0</v>
      </c>
      <c r="V91" s="10">
        <v>5255565</v>
      </c>
      <c r="W91" s="12">
        <v>0.25800000000000001</v>
      </c>
      <c r="X91" s="10">
        <v>0</v>
      </c>
      <c r="Y91" s="22">
        <f>283801/5255565</f>
        <v>5.4000093234504755E-2</v>
      </c>
      <c r="Z91" s="10">
        <v>283540</v>
      </c>
      <c r="AA91" s="10">
        <v>0</v>
      </c>
      <c r="AB91" s="10">
        <f>36646+443</f>
        <v>37089</v>
      </c>
      <c r="AC91" s="10">
        <v>119921</v>
      </c>
      <c r="AD91" s="10">
        <v>11019</v>
      </c>
      <c r="AE91" s="10">
        <v>9035</v>
      </c>
      <c r="AF91" s="10">
        <f>12240+2265</f>
        <v>14505</v>
      </c>
      <c r="AG91" s="10">
        <v>4670</v>
      </c>
      <c r="AH91" s="10">
        <v>5502</v>
      </c>
      <c r="AI91" s="10">
        <v>0</v>
      </c>
      <c r="AJ91" s="10">
        <v>3385</v>
      </c>
      <c r="AK91" s="10">
        <f>3271+3531+4207</f>
        <v>11009</v>
      </c>
      <c r="AL91" s="10">
        <v>3130</v>
      </c>
      <c r="AM91" s="10">
        <v>258</v>
      </c>
      <c r="AN91" s="10">
        <v>13171</v>
      </c>
      <c r="AO91" s="10">
        <v>23246</v>
      </c>
      <c r="AP91" s="10">
        <v>242138</v>
      </c>
      <c r="AQ91" s="10">
        <v>483468</v>
      </c>
      <c r="AR91" s="12">
        <f t="shared" si="9"/>
        <v>9.6003105667016336E-2</v>
      </c>
      <c r="AS91" s="10">
        <v>0</v>
      </c>
      <c r="AT91" s="10">
        <v>0</v>
      </c>
      <c r="AU91" s="10">
        <v>69232</v>
      </c>
      <c r="AV91" s="10">
        <v>0</v>
      </c>
      <c r="AW91" s="10">
        <v>62733</v>
      </c>
      <c r="AX91" s="10">
        <v>21570</v>
      </c>
      <c r="AY91" s="10">
        <v>0</v>
      </c>
      <c r="AZ91" s="10">
        <v>0</v>
      </c>
      <c r="BA91" s="10">
        <v>1468</v>
      </c>
      <c r="BB91" s="10">
        <v>281</v>
      </c>
      <c r="BC91" s="10">
        <v>0</v>
      </c>
      <c r="BD91" s="10">
        <v>-32</v>
      </c>
      <c r="BE91" s="10">
        <v>-53</v>
      </c>
      <c r="BF91" s="10">
        <v>-137</v>
      </c>
      <c r="BG91" s="10">
        <v>-104</v>
      </c>
      <c r="BH91" s="10">
        <v>-2</v>
      </c>
      <c r="BI91" s="10">
        <f t="shared" si="10"/>
        <v>1421</v>
      </c>
      <c r="BJ91" s="1">
        <v>7</v>
      </c>
      <c r="BK91" s="1">
        <v>66</v>
      </c>
      <c r="BL91" s="1">
        <v>9</v>
      </c>
      <c r="BM91" s="1">
        <v>29</v>
      </c>
      <c r="BN91" s="1">
        <v>0</v>
      </c>
      <c r="BO91" s="1">
        <v>0</v>
      </c>
      <c r="BP91" s="1" t="s">
        <v>453</v>
      </c>
      <c r="BQ91" s="1" t="s">
        <v>453</v>
      </c>
      <c r="BR91" s="1" t="s">
        <v>453</v>
      </c>
      <c r="BS91" s="1" t="s">
        <v>453</v>
      </c>
      <c r="BT91" s="1" t="s">
        <v>453</v>
      </c>
      <c r="BU91" s="1" t="s">
        <v>453</v>
      </c>
      <c r="BV91" s="1" t="s">
        <v>453</v>
      </c>
      <c r="BW91" s="1" t="s">
        <v>453</v>
      </c>
      <c r="BX91" s="1" t="s">
        <v>453</v>
      </c>
      <c r="BY91" s="1" t="s">
        <v>453</v>
      </c>
    </row>
    <row r="92" spans="1:77">
      <c r="A92" s="1">
        <v>9</v>
      </c>
      <c r="B92" s="1" t="s">
        <v>190</v>
      </c>
      <c r="C92" s="7" t="s">
        <v>43</v>
      </c>
      <c r="D92" s="1" t="s">
        <v>655</v>
      </c>
      <c r="E92" s="1" t="s">
        <v>489</v>
      </c>
      <c r="F92" s="7" t="s">
        <v>478</v>
      </c>
      <c r="G92" s="7" t="s">
        <v>490</v>
      </c>
      <c r="H92" s="10">
        <v>5002329</v>
      </c>
      <c r="I92" s="10">
        <v>5007814</v>
      </c>
      <c r="J92" s="10">
        <v>165043</v>
      </c>
      <c r="K92" s="48">
        <v>52652</v>
      </c>
      <c r="L92" s="48">
        <v>0</v>
      </c>
      <c r="M92" s="48">
        <v>253858</v>
      </c>
      <c r="N92" s="48">
        <v>1349555</v>
      </c>
      <c r="O92" s="48">
        <v>4435</v>
      </c>
      <c r="P92" s="48">
        <v>49823</v>
      </c>
      <c r="Q92" s="48">
        <v>290142</v>
      </c>
      <c r="R92" s="10">
        <v>2587215</v>
      </c>
      <c r="S92" s="10">
        <v>155766</v>
      </c>
      <c r="T92" s="10">
        <v>0</v>
      </c>
      <c r="U92" s="10">
        <v>0</v>
      </c>
      <c r="V92" s="10">
        <v>5220362</v>
      </c>
      <c r="W92" s="12">
        <v>0.05</v>
      </c>
      <c r="X92" s="10">
        <v>0</v>
      </c>
      <c r="Y92" s="22">
        <f>479350/5220362</f>
        <v>9.1823134104493137E-2</v>
      </c>
      <c r="Z92" s="10">
        <v>478595</v>
      </c>
      <c r="AA92" s="10">
        <v>0</v>
      </c>
      <c r="AB92" s="10">
        <f>5485+273</f>
        <v>5758</v>
      </c>
      <c r="AC92" s="10">
        <v>137736</v>
      </c>
      <c r="AD92" s="10">
        <v>11167</v>
      </c>
      <c r="AE92" s="10">
        <v>33544</v>
      </c>
      <c r="AF92" s="10">
        <f>16980+2155</f>
        <v>19135</v>
      </c>
      <c r="AG92" s="10">
        <v>6950</v>
      </c>
      <c r="AH92" s="10">
        <v>22463</v>
      </c>
      <c r="AI92" s="10">
        <v>0</v>
      </c>
      <c r="AJ92" s="10">
        <v>27168</v>
      </c>
      <c r="AK92" s="10">
        <f>4407+13856+4624</f>
        <v>22887</v>
      </c>
      <c r="AL92" s="10">
        <v>2940</v>
      </c>
      <c r="AM92" s="10">
        <v>945</v>
      </c>
      <c r="AN92" s="10">
        <v>12168</v>
      </c>
      <c r="AO92" s="10">
        <v>0</v>
      </c>
      <c r="AP92" s="10">
        <v>318263</v>
      </c>
      <c r="AQ92" s="10">
        <v>325526</v>
      </c>
      <c r="AR92" s="12">
        <f t="shared" si="9"/>
        <v>0</v>
      </c>
      <c r="AS92" s="10">
        <v>0</v>
      </c>
      <c r="AT92" s="10">
        <v>0</v>
      </c>
      <c r="AU92" s="10">
        <v>139662</v>
      </c>
      <c r="AV92" s="10">
        <v>0</v>
      </c>
      <c r="AW92" s="10">
        <v>46474</v>
      </c>
      <c r="AX92" s="10">
        <v>0</v>
      </c>
      <c r="AY92" s="10">
        <v>0</v>
      </c>
      <c r="AZ92" s="10">
        <v>0</v>
      </c>
      <c r="BA92" s="10">
        <v>887</v>
      </c>
      <c r="BB92" s="10">
        <v>497</v>
      </c>
      <c r="BC92" s="10">
        <v>0</v>
      </c>
      <c r="BD92" s="10">
        <v>0</v>
      </c>
      <c r="BE92" s="10">
        <v>-84</v>
      </c>
      <c r="BF92" s="10">
        <v>-233</v>
      </c>
      <c r="BG92" s="10">
        <v>-159</v>
      </c>
      <c r="BH92" s="10">
        <v>-2</v>
      </c>
      <c r="BI92" s="10">
        <f t="shared" si="10"/>
        <v>906</v>
      </c>
      <c r="BJ92" s="1">
        <v>3</v>
      </c>
      <c r="BK92" s="1">
        <v>152</v>
      </c>
      <c r="BL92" s="1">
        <v>4</v>
      </c>
      <c r="BM92" s="1">
        <v>2</v>
      </c>
      <c r="BN92" s="1">
        <v>0</v>
      </c>
      <c r="BO92" s="1">
        <v>1</v>
      </c>
      <c r="BP92" s="1" t="s">
        <v>453</v>
      </c>
      <c r="BQ92" s="1" t="s">
        <v>453</v>
      </c>
      <c r="BR92" s="1" t="s">
        <v>453</v>
      </c>
      <c r="BS92" s="1" t="s">
        <v>453</v>
      </c>
      <c r="BT92" s="1" t="s">
        <v>453</v>
      </c>
      <c r="BU92" s="1" t="s">
        <v>453</v>
      </c>
      <c r="BV92" s="1" t="s">
        <v>453</v>
      </c>
      <c r="BW92" s="1" t="s">
        <v>453</v>
      </c>
      <c r="BX92" s="1" t="s">
        <v>453</v>
      </c>
      <c r="BY92" s="1" t="s">
        <v>453</v>
      </c>
    </row>
    <row r="93" spans="1:77">
      <c r="A93" s="1">
        <v>9</v>
      </c>
      <c r="B93" s="1" t="s">
        <v>253</v>
      </c>
      <c r="C93" s="7" t="s">
        <v>424</v>
      </c>
      <c r="D93" s="1" t="s">
        <v>719</v>
      </c>
      <c r="E93" s="1" t="s">
        <v>489</v>
      </c>
      <c r="F93" s="7" t="s">
        <v>478</v>
      </c>
      <c r="G93" s="7" t="s">
        <v>490</v>
      </c>
      <c r="H93" s="10">
        <v>7502910</v>
      </c>
      <c r="I93" s="10">
        <v>7541145</v>
      </c>
      <c r="J93" s="10">
        <v>289016</v>
      </c>
      <c r="K93" s="48">
        <v>18542</v>
      </c>
      <c r="L93" s="48">
        <v>0</v>
      </c>
      <c r="M93" s="48">
        <v>312354</v>
      </c>
      <c r="N93" s="48">
        <v>2702524</v>
      </c>
      <c r="O93" s="48">
        <v>0</v>
      </c>
      <c r="P93" s="48">
        <v>13783</v>
      </c>
      <c r="Q93" s="48">
        <v>397837</v>
      </c>
      <c r="R93" s="10">
        <v>2603689</v>
      </c>
      <c r="S93" s="10">
        <v>550170</v>
      </c>
      <c r="T93" s="10">
        <v>0</v>
      </c>
      <c r="U93" s="10">
        <v>0</v>
      </c>
      <c r="V93" s="10">
        <v>7167769</v>
      </c>
      <c r="W93" s="12">
        <v>0.1055</v>
      </c>
      <c r="X93" s="10">
        <v>0</v>
      </c>
      <c r="Y93" s="22">
        <f>496920/7098850</f>
        <v>7.0000070433943531E-2</v>
      </c>
      <c r="Z93" s="10">
        <v>496872</v>
      </c>
      <c r="AA93" s="10">
        <v>0</v>
      </c>
      <c r="AB93" s="10">
        <f>38036+312+522</f>
        <v>38870</v>
      </c>
      <c r="AC93" s="10">
        <v>202750</v>
      </c>
      <c r="AD93" s="10">
        <v>18981</v>
      </c>
      <c r="AE93" s="10">
        <v>22077</v>
      </c>
      <c r="AF93" s="10">
        <v>27496</v>
      </c>
      <c r="AG93" s="10">
        <v>0</v>
      </c>
      <c r="AH93" s="10">
        <v>58066</v>
      </c>
      <c r="AI93" s="10">
        <v>0</v>
      </c>
      <c r="AJ93" s="10">
        <v>16950</v>
      </c>
      <c r="AK93" s="10">
        <f>3767+12334+10980</f>
        <v>27081</v>
      </c>
      <c r="AL93" s="3">
        <v>250</v>
      </c>
      <c r="AM93" s="10">
        <v>700</v>
      </c>
      <c r="AN93" s="10">
        <v>327</v>
      </c>
      <c r="AO93" s="10">
        <v>0</v>
      </c>
      <c r="AP93" s="10">
        <v>395947</v>
      </c>
      <c r="AQ93" s="10">
        <v>410055</v>
      </c>
      <c r="AR93" s="12">
        <f t="shared" si="9"/>
        <v>0</v>
      </c>
      <c r="AS93" s="10">
        <v>0</v>
      </c>
      <c r="AT93" s="10">
        <v>0</v>
      </c>
      <c r="AU93" s="10">
        <v>139662</v>
      </c>
      <c r="AV93" s="10">
        <v>0</v>
      </c>
      <c r="AW93" s="10">
        <v>46105</v>
      </c>
      <c r="AX93" s="10">
        <v>0</v>
      </c>
      <c r="AY93" s="10">
        <v>0</v>
      </c>
      <c r="AZ93" s="10">
        <v>0</v>
      </c>
      <c r="BA93" s="10">
        <v>1684</v>
      </c>
      <c r="BB93" s="10">
        <v>803</v>
      </c>
      <c r="BC93" s="10">
        <v>0</v>
      </c>
      <c r="BD93" s="10">
        <f>10-1</f>
        <v>9</v>
      </c>
      <c r="BE93" s="10">
        <v>-144</v>
      </c>
      <c r="BF93" s="10">
        <v>-308</v>
      </c>
      <c r="BG93" s="10">
        <v>-265</v>
      </c>
      <c r="BH93" s="10">
        <v>0</v>
      </c>
      <c r="BI93" s="10">
        <f t="shared" si="10"/>
        <v>1779</v>
      </c>
      <c r="BJ93" s="1">
        <v>6</v>
      </c>
      <c r="BK93" s="1">
        <v>71</v>
      </c>
      <c r="BL93" s="1">
        <v>30</v>
      </c>
      <c r="BM93" s="1">
        <v>162</v>
      </c>
      <c r="BN93" s="1">
        <v>0</v>
      </c>
      <c r="BO93" s="1">
        <v>2</v>
      </c>
      <c r="BP93" s="1" t="s">
        <v>453</v>
      </c>
      <c r="BQ93" s="1" t="s">
        <v>453</v>
      </c>
      <c r="BR93" s="1" t="s">
        <v>453</v>
      </c>
      <c r="BS93" s="1" t="s">
        <v>453</v>
      </c>
      <c r="BT93" s="1" t="s">
        <v>453</v>
      </c>
      <c r="BU93" s="1" t="s">
        <v>453</v>
      </c>
      <c r="BV93" s="1" t="s">
        <v>453</v>
      </c>
      <c r="BW93" s="1" t="s">
        <v>453</v>
      </c>
      <c r="BX93" s="1" t="s">
        <v>453</v>
      </c>
      <c r="BY93" s="1" t="s">
        <v>453</v>
      </c>
    </row>
    <row r="94" spans="1:77">
      <c r="A94" s="1">
        <v>9</v>
      </c>
      <c r="B94" s="1" t="s">
        <v>278</v>
      </c>
      <c r="C94" s="1" t="s">
        <v>408</v>
      </c>
      <c r="D94" s="1" t="s">
        <v>342</v>
      </c>
      <c r="E94" s="1" t="s">
        <v>423</v>
      </c>
      <c r="F94" s="7" t="s">
        <v>695</v>
      </c>
      <c r="G94" s="7" t="s">
        <v>425</v>
      </c>
      <c r="H94" s="10">
        <v>5843211</v>
      </c>
      <c r="I94" s="10">
        <v>5883401</v>
      </c>
      <c r="J94" s="10">
        <v>258100</v>
      </c>
      <c r="K94" s="48">
        <v>1447237</v>
      </c>
      <c r="L94" s="48">
        <v>221958</v>
      </c>
      <c r="M94" s="48">
        <v>1373392</v>
      </c>
      <c r="N94" s="48">
        <v>19355</v>
      </c>
      <c r="O94" s="48">
        <v>0</v>
      </c>
      <c r="P94" s="48">
        <v>214258</v>
      </c>
      <c r="Q94" s="48">
        <v>0</v>
      </c>
      <c r="R94" s="10">
        <v>1587446</v>
      </c>
      <c r="S94" s="10">
        <v>289157</v>
      </c>
      <c r="T94" s="10">
        <v>0</v>
      </c>
      <c r="U94" s="10">
        <v>0</v>
      </c>
      <c r="V94" s="10">
        <v>5445157</v>
      </c>
      <c r="W94" s="12">
        <v>0.26135999999999998</v>
      </c>
      <c r="X94" s="10">
        <v>0</v>
      </c>
      <c r="Y94" s="22">
        <f>277846/5445157</f>
        <v>5.1026260583487311E-2</v>
      </c>
      <c r="Z94" s="10">
        <v>277617</v>
      </c>
      <c r="AA94" s="10">
        <v>0</v>
      </c>
      <c r="AB94" s="10">
        <f>40190+538</f>
        <v>40728</v>
      </c>
      <c r="AC94" s="10">
        <v>119942</v>
      </c>
      <c r="AD94" s="10">
        <v>12172</v>
      </c>
      <c r="AE94" s="10">
        <v>8283</v>
      </c>
      <c r="AF94" s="10">
        <f>13200+2080</f>
        <v>15280</v>
      </c>
      <c r="AG94" s="10">
        <v>3510</v>
      </c>
      <c r="AH94" s="10">
        <v>12452</v>
      </c>
      <c r="AI94" s="10">
        <v>0</v>
      </c>
      <c r="AJ94" s="10">
        <v>2378</v>
      </c>
      <c r="AK94" s="10">
        <f>2825+5153+5711</f>
        <v>13689</v>
      </c>
      <c r="AL94" s="10">
        <v>6270</v>
      </c>
      <c r="AM94" s="10">
        <v>399</v>
      </c>
      <c r="AN94" s="10">
        <v>11942</v>
      </c>
      <c r="AO94" s="10">
        <v>0</v>
      </c>
      <c r="AP94" s="10">
        <v>242120</v>
      </c>
      <c r="AQ94" s="10">
        <v>483468</v>
      </c>
      <c r="AR94" s="12">
        <f t="shared" si="9"/>
        <v>0</v>
      </c>
      <c r="AS94" s="10">
        <v>0</v>
      </c>
      <c r="AT94" s="10">
        <v>0</v>
      </c>
      <c r="AU94" s="10">
        <v>70429</v>
      </c>
      <c r="AV94" s="10">
        <v>0</v>
      </c>
      <c r="AW94" s="10">
        <v>73094</v>
      </c>
      <c r="AX94" s="10">
        <v>31934</v>
      </c>
      <c r="AY94" s="10">
        <v>0</v>
      </c>
      <c r="AZ94" s="10">
        <v>0</v>
      </c>
      <c r="BA94" s="10">
        <v>1421</v>
      </c>
      <c r="BB94" s="10">
        <v>314</v>
      </c>
      <c r="BC94" s="10">
        <v>48</v>
      </c>
      <c r="BD94" s="10">
        <v>0</v>
      </c>
      <c r="BE94" s="10">
        <v>-34</v>
      </c>
      <c r="BF94" s="10">
        <v>-150</v>
      </c>
      <c r="BG94" s="10">
        <v>-127</v>
      </c>
      <c r="BH94" s="10">
        <v>-2</v>
      </c>
      <c r="BI94" s="10">
        <f t="shared" si="10"/>
        <v>1470</v>
      </c>
      <c r="BJ94" s="1">
        <v>1</v>
      </c>
      <c r="BK94" s="1">
        <v>88</v>
      </c>
      <c r="BL94" s="1">
        <v>12</v>
      </c>
      <c r="BM94" s="1">
        <v>27</v>
      </c>
      <c r="BN94" s="1">
        <v>0</v>
      </c>
      <c r="BO94" s="1">
        <v>0</v>
      </c>
      <c r="BP94" s="1" t="s">
        <v>453</v>
      </c>
      <c r="BQ94" s="1" t="s">
        <v>453</v>
      </c>
      <c r="BR94" s="1" t="s">
        <v>453</v>
      </c>
      <c r="BS94" s="1" t="s">
        <v>453</v>
      </c>
      <c r="BT94" s="1" t="s">
        <v>453</v>
      </c>
      <c r="BU94" s="1" t="s">
        <v>453</v>
      </c>
      <c r="BV94" s="1" t="s">
        <v>453</v>
      </c>
      <c r="BW94" s="1" t="s">
        <v>453</v>
      </c>
      <c r="BX94" s="1" t="s">
        <v>453</v>
      </c>
      <c r="BY94" s="1" t="s">
        <v>453</v>
      </c>
    </row>
    <row r="95" spans="1:77">
      <c r="A95" s="1">
        <v>9</v>
      </c>
      <c r="B95" s="1" t="s">
        <v>296</v>
      </c>
      <c r="C95" s="7" t="s">
        <v>330</v>
      </c>
      <c r="D95" s="1" t="s">
        <v>26</v>
      </c>
      <c r="E95" s="1" t="s">
        <v>489</v>
      </c>
      <c r="F95" s="7" t="s">
        <v>478</v>
      </c>
      <c r="G95" s="7" t="s">
        <v>490</v>
      </c>
      <c r="H95" s="10">
        <v>7847340</v>
      </c>
      <c r="I95" s="10">
        <v>7876351</v>
      </c>
      <c r="J95" s="10">
        <v>385413</v>
      </c>
      <c r="K95" s="48">
        <v>0</v>
      </c>
      <c r="L95" s="48">
        <v>386680</v>
      </c>
      <c r="M95" s="48">
        <v>2879845</v>
      </c>
      <c r="N95" s="48">
        <v>0</v>
      </c>
      <c r="O95" s="48">
        <v>0</v>
      </c>
      <c r="P95" s="48">
        <v>651334</v>
      </c>
      <c r="Q95" s="48">
        <v>0</v>
      </c>
      <c r="R95" s="10">
        <v>2417661</v>
      </c>
      <c r="S95" s="10">
        <v>495746</v>
      </c>
      <c r="T95" s="10">
        <v>2050</v>
      </c>
      <c r="U95" s="10">
        <v>0</v>
      </c>
      <c r="V95" s="10">
        <v>7503432</v>
      </c>
      <c r="W95" s="12">
        <v>5.4800000000000001E-2</v>
      </c>
      <c r="X95" s="10">
        <v>0</v>
      </c>
      <c r="Y95" s="22">
        <f>657552/7500992</f>
        <v>8.7662005238773752E-2</v>
      </c>
      <c r="Z95" s="10">
        <v>657516</v>
      </c>
      <c r="AA95" s="10">
        <v>0</v>
      </c>
      <c r="AB95" s="10">
        <f>29011+1133</f>
        <v>30144</v>
      </c>
      <c r="AC95" s="10">
        <v>223904</v>
      </c>
      <c r="AD95" s="10">
        <v>18105</v>
      </c>
      <c r="AE95" s="10">
        <v>45302</v>
      </c>
      <c r="AF95" s="10">
        <f>41447+5459</f>
        <v>46906</v>
      </c>
      <c r="AG95" s="10">
        <v>2966</v>
      </c>
      <c r="AH95" s="10">
        <v>14104</v>
      </c>
      <c r="AI95" s="10">
        <v>650</v>
      </c>
      <c r="AJ95" s="10">
        <v>20079</v>
      </c>
      <c r="AK95" s="10">
        <f>6747+5020+14639</f>
        <v>26406</v>
      </c>
      <c r="AL95" s="10">
        <v>6434</v>
      </c>
      <c r="AM95" s="10">
        <v>4251</v>
      </c>
      <c r="AN95" s="10">
        <v>73312</v>
      </c>
      <c r="AO95" s="10">
        <v>1742</v>
      </c>
      <c r="AP95" s="10">
        <v>533105</v>
      </c>
      <c r="AQ95" s="10">
        <v>544321</v>
      </c>
      <c r="AR95" s="12">
        <f t="shared" si="9"/>
        <v>3.267648962211947E-3</v>
      </c>
      <c r="AS95" s="10">
        <v>0</v>
      </c>
      <c r="AT95" s="10">
        <v>0</v>
      </c>
      <c r="AU95" s="10">
        <v>139662</v>
      </c>
      <c r="AV95" s="10">
        <v>0</v>
      </c>
      <c r="AW95" s="10">
        <v>83012</v>
      </c>
      <c r="AX95" s="10">
        <v>0</v>
      </c>
      <c r="AY95" s="10">
        <v>0</v>
      </c>
      <c r="AZ95" s="10">
        <v>0</v>
      </c>
      <c r="BA95" s="10">
        <v>1652</v>
      </c>
      <c r="BB95" s="10">
        <v>701</v>
      </c>
      <c r="BC95" s="10">
        <v>0</v>
      </c>
      <c r="BD95" s="10">
        <v>-1</v>
      </c>
      <c r="BE95" s="10">
        <v>-107</v>
      </c>
      <c r="BF95" s="10">
        <v>-162</v>
      </c>
      <c r="BG95" s="10">
        <v>-295</v>
      </c>
      <c r="BH95" s="10">
        <v>-5</v>
      </c>
      <c r="BI95" s="10">
        <f t="shared" si="10"/>
        <v>1783</v>
      </c>
      <c r="BJ95" s="1">
        <v>11</v>
      </c>
      <c r="BK95" s="1">
        <v>84</v>
      </c>
      <c r="BL95" s="1">
        <v>30</v>
      </c>
      <c r="BM95" s="1">
        <v>165</v>
      </c>
      <c r="BN95" s="1">
        <v>5</v>
      </c>
      <c r="BO95" s="1">
        <v>16</v>
      </c>
      <c r="BP95" s="1">
        <v>2</v>
      </c>
      <c r="BQ95" s="1">
        <v>3</v>
      </c>
      <c r="BR95" s="1">
        <v>21</v>
      </c>
      <c r="BS95" s="1">
        <v>59</v>
      </c>
      <c r="BT95" s="1">
        <v>0</v>
      </c>
      <c r="BU95" s="1">
        <v>2</v>
      </c>
      <c r="BV95" s="1">
        <v>1</v>
      </c>
      <c r="BW95" s="1">
        <v>11</v>
      </c>
      <c r="BX95" s="1">
        <v>77</v>
      </c>
      <c r="BY95" s="1">
        <v>8</v>
      </c>
    </row>
    <row r="96" spans="1:77">
      <c r="A96" s="1">
        <v>9</v>
      </c>
      <c r="B96" s="1" t="s">
        <v>334</v>
      </c>
      <c r="C96" s="7" t="s">
        <v>544</v>
      </c>
      <c r="D96" s="1" t="s">
        <v>266</v>
      </c>
      <c r="E96" s="1" t="s">
        <v>423</v>
      </c>
      <c r="F96" s="7" t="s">
        <v>695</v>
      </c>
      <c r="G96" s="7" t="s">
        <v>425</v>
      </c>
      <c r="H96" s="10">
        <v>16276743</v>
      </c>
      <c r="I96" s="10">
        <v>16345312</v>
      </c>
      <c r="J96" s="10">
        <v>555424</v>
      </c>
      <c r="K96" s="48">
        <v>4141666</v>
      </c>
      <c r="L96" s="48">
        <v>556432</v>
      </c>
      <c r="M96" s="48">
        <v>0</v>
      </c>
      <c r="N96" s="48">
        <v>4614354</v>
      </c>
      <c r="O96" s="48">
        <v>0</v>
      </c>
      <c r="P96" s="48">
        <v>0</v>
      </c>
      <c r="Q96" s="48">
        <v>819175</v>
      </c>
      <c r="R96" s="10">
        <v>3466721</v>
      </c>
      <c r="S96" s="10">
        <v>1220997</v>
      </c>
      <c r="T96" s="10">
        <v>0</v>
      </c>
      <c r="U96" s="10">
        <v>10957</v>
      </c>
      <c r="V96" s="10">
        <v>15828258</v>
      </c>
      <c r="W96" s="12">
        <v>0.11</v>
      </c>
      <c r="X96" s="10">
        <v>0</v>
      </c>
      <c r="Y96" s="22">
        <f>854134/15817301</f>
        <v>5.3999983941634543E-2</v>
      </c>
      <c r="Z96" s="10">
        <v>854698</v>
      </c>
      <c r="AA96" s="10">
        <v>0</v>
      </c>
      <c r="AB96" s="10">
        <f>58451+1670</f>
        <v>60121</v>
      </c>
      <c r="AC96" s="10">
        <v>350165</v>
      </c>
      <c r="AD96" s="10">
        <v>28293</v>
      </c>
      <c r="AE96" s="10">
        <v>85400</v>
      </c>
      <c r="AF96" s="10">
        <f>49690+6319</f>
        <v>56009</v>
      </c>
      <c r="AG96" s="10">
        <v>1020</v>
      </c>
      <c r="AH96" s="10">
        <v>26543</v>
      </c>
      <c r="AI96" s="10">
        <v>5</v>
      </c>
      <c r="AJ96" s="10">
        <v>9545</v>
      </c>
      <c r="AK96" s="10">
        <f>9754+27991+23515</f>
        <v>61260</v>
      </c>
      <c r="AL96" s="10">
        <v>5506</v>
      </c>
      <c r="AM96" s="10">
        <v>579</v>
      </c>
      <c r="AN96" s="10">
        <v>28457</v>
      </c>
      <c r="AO96" s="10">
        <v>0</v>
      </c>
      <c r="AP96" s="10">
        <v>746941</v>
      </c>
      <c r="AQ96" s="10">
        <v>783314</v>
      </c>
      <c r="AR96" s="12">
        <f t="shared" si="9"/>
        <v>0</v>
      </c>
      <c r="AS96" s="10">
        <v>0</v>
      </c>
      <c r="AT96" s="10">
        <v>0</v>
      </c>
      <c r="AU96" s="10">
        <v>139662</v>
      </c>
      <c r="AV96" s="10">
        <v>0</v>
      </c>
      <c r="AW96" s="10">
        <v>122367</v>
      </c>
      <c r="AX96" s="10">
        <v>0</v>
      </c>
      <c r="AY96" s="10">
        <v>0</v>
      </c>
      <c r="AZ96" s="10">
        <v>0</v>
      </c>
      <c r="BA96" s="10">
        <v>2735</v>
      </c>
      <c r="BB96" s="10">
        <v>1034</v>
      </c>
      <c r="BC96" s="10">
        <v>25</v>
      </c>
      <c r="BD96" s="10">
        <f>12-3</f>
        <v>9</v>
      </c>
      <c r="BE96" s="10">
        <v>-92</v>
      </c>
      <c r="BF96" s="10">
        <v>-477</v>
      </c>
      <c r="BG96" s="10">
        <v>-409</v>
      </c>
      <c r="BH96" s="10">
        <v>-1</v>
      </c>
      <c r="BI96" s="10">
        <f t="shared" si="10"/>
        <v>2824</v>
      </c>
      <c r="BJ96" s="1">
        <v>5</v>
      </c>
      <c r="BK96" s="1">
        <v>129</v>
      </c>
      <c r="BL96" s="1">
        <v>52</v>
      </c>
      <c r="BM96" s="1">
        <v>219</v>
      </c>
      <c r="BN96" s="1">
        <v>1</v>
      </c>
      <c r="BO96" s="1">
        <v>8</v>
      </c>
      <c r="BP96" s="1">
        <v>0</v>
      </c>
      <c r="BQ96" s="1">
        <v>2</v>
      </c>
      <c r="BR96" s="1">
        <v>16</v>
      </c>
      <c r="BS96" s="1">
        <v>54</v>
      </c>
      <c r="BT96" s="1">
        <v>1</v>
      </c>
      <c r="BU96" s="1">
        <v>5</v>
      </c>
      <c r="BV96" s="1">
        <v>7</v>
      </c>
      <c r="BW96" s="1">
        <v>58</v>
      </c>
      <c r="BX96" s="1">
        <v>253</v>
      </c>
      <c r="BY96" s="1">
        <v>5</v>
      </c>
    </row>
    <row r="97" spans="1:77">
      <c r="A97" s="1">
        <v>9</v>
      </c>
      <c r="B97" s="1" t="s">
        <v>377</v>
      </c>
      <c r="C97" s="7" t="s">
        <v>258</v>
      </c>
      <c r="D97" s="1" t="s">
        <v>218</v>
      </c>
      <c r="E97" s="1" t="s">
        <v>489</v>
      </c>
      <c r="F97" s="7" t="s">
        <v>617</v>
      </c>
      <c r="G97" s="7" t="s">
        <v>490</v>
      </c>
      <c r="H97" s="10">
        <v>55268780</v>
      </c>
      <c r="I97" s="10">
        <v>55648867</v>
      </c>
      <c r="J97" s="10">
        <v>10222654</v>
      </c>
      <c r="K97" s="48">
        <v>14830446</v>
      </c>
      <c r="L97" s="48">
        <v>497207</v>
      </c>
      <c r="M97" s="48">
        <v>13833243</v>
      </c>
      <c r="N97" s="48">
        <v>0</v>
      </c>
      <c r="O97" s="48">
        <v>0</v>
      </c>
      <c r="P97" s="48">
        <v>1815339</v>
      </c>
      <c r="Q97" s="48">
        <v>0</v>
      </c>
      <c r="R97" s="10">
        <v>10390361</v>
      </c>
      <c r="S97" s="10">
        <v>2069493</v>
      </c>
      <c r="T97" s="10">
        <v>8052</v>
      </c>
      <c r="U97" s="10">
        <v>143836</v>
      </c>
      <c r="V97" s="10">
        <v>45641862</v>
      </c>
      <c r="W97" s="12">
        <v>0.12</v>
      </c>
      <c r="X97" s="10">
        <v>0</v>
      </c>
      <c r="Y97" s="22">
        <f>2053768/45487376</f>
        <v>4.5150285213198492E-2</v>
      </c>
      <c r="Z97" s="10">
        <v>2053885</v>
      </c>
      <c r="AA97" s="10">
        <v>0</v>
      </c>
      <c r="AB97" s="10">
        <v>380087</v>
      </c>
      <c r="AC97" s="10">
        <v>1352867</v>
      </c>
      <c r="AD97" s="10">
        <v>103490</v>
      </c>
      <c r="AE97" s="10">
        <v>266190</v>
      </c>
      <c r="AF97" s="10">
        <f>52172+14099</f>
        <v>66271</v>
      </c>
      <c r="AG97" s="10">
        <v>1305</v>
      </c>
      <c r="AH97" s="10">
        <v>28637</v>
      </c>
      <c r="AI97" s="10">
        <v>100</v>
      </c>
      <c r="AJ97" s="10">
        <v>91170</v>
      </c>
      <c r="AK97" s="10">
        <f>15078+78963+24569</f>
        <v>118610</v>
      </c>
      <c r="AL97" s="10">
        <v>16250</v>
      </c>
      <c r="AM97" s="10">
        <v>32703</v>
      </c>
      <c r="AN97" s="10">
        <v>28552</v>
      </c>
      <c r="AO97" s="10">
        <v>215205</v>
      </c>
      <c r="AP97" s="10">
        <v>2284232</v>
      </c>
      <c r="AQ97" s="10">
        <v>2533906</v>
      </c>
      <c r="AR97" s="12">
        <f t="shared" si="9"/>
        <v>9.4213284815202664E-2</v>
      </c>
      <c r="AS97" s="10">
        <v>0</v>
      </c>
      <c r="AT97" s="10">
        <v>0</v>
      </c>
      <c r="AU97" s="10">
        <v>139662</v>
      </c>
      <c r="AV97" s="10">
        <v>0</v>
      </c>
      <c r="AW97" s="10">
        <v>269765</v>
      </c>
      <c r="AX97" s="10">
        <v>0</v>
      </c>
      <c r="AY97" s="10">
        <v>0</v>
      </c>
      <c r="AZ97" s="10">
        <v>0</v>
      </c>
      <c r="BA97" s="10">
        <v>6935</v>
      </c>
      <c r="BB97" s="10">
        <v>2113</v>
      </c>
      <c r="BC97" s="10">
        <v>0</v>
      </c>
      <c r="BD97" s="10">
        <f>20-3</f>
        <v>17</v>
      </c>
      <c r="BE97" s="10">
        <v>-340</v>
      </c>
      <c r="BF97" s="10">
        <v>-1257</v>
      </c>
      <c r="BG97" s="10">
        <v>-1466</v>
      </c>
      <c r="BH97" s="10">
        <v>0</v>
      </c>
      <c r="BI97" s="10">
        <f t="shared" si="10"/>
        <v>6002</v>
      </c>
      <c r="BJ97" s="1">
        <v>24</v>
      </c>
      <c r="BK97" s="1">
        <v>385</v>
      </c>
      <c r="BL97" s="1">
        <v>115</v>
      </c>
      <c r="BM97" s="1">
        <v>945</v>
      </c>
      <c r="BN97" s="1">
        <v>20</v>
      </c>
      <c r="BO97" s="1">
        <v>1</v>
      </c>
      <c r="BP97" s="1">
        <v>45</v>
      </c>
      <c r="BQ97" s="1">
        <v>8</v>
      </c>
      <c r="BR97" s="1">
        <v>215</v>
      </c>
      <c r="BS97" s="1">
        <v>7</v>
      </c>
      <c r="BT97" s="1">
        <v>0</v>
      </c>
      <c r="BU97" s="1">
        <v>217</v>
      </c>
      <c r="BV97" s="1">
        <v>31</v>
      </c>
      <c r="BW97" s="1">
        <v>677</v>
      </c>
      <c r="BX97" s="1">
        <v>18</v>
      </c>
      <c r="BY97" s="1">
        <v>0</v>
      </c>
    </row>
    <row r="98" spans="1:77">
      <c r="A98" s="1">
        <v>9</v>
      </c>
      <c r="B98" s="1" t="s">
        <v>412</v>
      </c>
      <c r="C98" s="7" t="s">
        <v>648</v>
      </c>
      <c r="D98" s="1" t="s">
        <v>582</v>
      </c>
      <c r="E98" s="1" t="s">
        <v>423</v>
      </c>
      <c r="F98" s="7" t="s">
        <v>205</v>
      </c>
      <c r="G98" s="7" t="s">
        <v>425</v>
      </c>
      <c r="H98" s="10">
        <v>5623429</v>
      </c>
      <c r="I98" s="10">
        <v>5647098</v>
      </c>
      <c r="J98" s="10">
        <v>221225</v>
      </c>
      <c r="K98" s="48">
        <v>1594014</v>
      </c>
      <c r="L98" s="48">
        <v>490505</v>
      </c>
      <c r="M98" s="48">
        <v>1097157</v>
      </c>
      <c r="N98" s="48">
        <v>0</v>
      </c>
      <c r="O98" s="48">
        <v>0</v>
      </c>
      <c r="P98" s="48">
        <v>289252</v>
      </c>
      <c r="Q98" s="48">
        <v>0</v>
      </c>
      <c r="R98" s="10">
        <v>1301206</v>
      </c>
      <c r="S98" s="10">
        <v>242523</v>
      </c>
      <c r="T98" s="10">
        <v>0</v>
      </c>
      <c r="U98" s="10">
        <v>0</v>
      </c>
      <c r="V98" s="10">
        <v>5305555</v>
      </c>
      <c r="W98" s="12">
        <v>0.1017</v>
      </c>
      <c r="X98" s="10">
        <v>0</v>
      </c>
      <c r="Y98" s="22">
        <f>278845/5305555</f>
        <v>5.255717827823856E-2</v>
      </c>
      <c r="Z98" s="10">
        <v>278716</v>
      </c>
      <c r="AA98" s="10">
        <v>0</v>
      </c>
      <c r="AB98" s="10">
        <f>23669+286</f>
        <v>23955</v>
      </c>
      <c r="AC98" s="10">
        <v>75723</v>
      </c>
      <c r="AD98" s="10">
        <v>5808</v>
      </c>
      <c r="AE98" s="10">
        <v>11064</v>
      </c>
      <c r="AF98" s="10">
        <v>12660</v>
      </c>
      <c r="AG98" s="10">
        <v>0</v>
      </c>
      <c r="AH98" s="10">
        <v>4867</v>
      </c>
      <c r="AI98" s="10">
        <v>4218</v>
      </c>
      <c r="AJ98" s="10">
        <v>0</v>
      </c>
      <c r="AK98" s="10">
        <f>4290+11483+5589</f>
        <v>21362</v>
      </c>
      <c r="AL98" s="10">
        <v>250</v>
      </c>
      <c r="AM98" s="10">
        <v>0</v>
      </c>
      <c r="AN98" s="10">
        <v>6361</v>
      </c>
      <c r="AO98" s="10">
        <v>11880</v>
      </c>
      <c r="AP98" s="10">
        <v>179080</v>
      </c>
      <c r="AQ98" s="10">
        <v>177557</v>
      </c>
      <c r="AR98" s="12">
        <f t="shared" si="9"/>
        <v>6.6339066339066333E-2</v>
      </c>
      <c r="AS98" s="10">
        <v>0</v>
      </c>
      <c r="AT98" s="10">
        <v>0</v>
      </c>
      <c r="AU98" s="10">
        <v>139662</v>
      </c>
      <c r="AV98" s="10">
        <v>0</v>
      </c>
      <c r="AW98" s="10">
        <v>15275</v>
      </c>
      <c r="AX98" s="10">
        <v>0</v>
      </c>
      <c r="AY98" s="10">
        <v>0</v>
      </c>
      <c r="AZ98" s="10">
        <v>0</v>
      </c>
      <c r="BA98" s="10">
        <v>600</v>
      </c>
      <c r="BB98" s="10">
        <v>329</v>
      </c>
      <c r="BC98" s="10">
        <v>5</v>
      </c>
      <c r="BD98" s="10">
        <f>1+11-2</f>
        <v>10</v>
      </c>
      <c r="BE98" s="10">
        <v>-53</v>
      </c>
      <c r="BF98" s="10">
        <v>-111</v>
      </c>
      <c r="BG98" s="10">
        <v>-91</v>
      </c>
      <c r="BH98" s="10">
        <v>-1</v>
      </c>
      <c r="BI98" s="10">
        <f t="shared" si="10"/>
        <v>688</v>
      </c>
      <c r="BJ98" s="1">
        <v>0</v>
      </c>
      <c r="BK98" s="1">
        <v>26</v>
      </c>
      <c r="BL98" s="1">
        <v>17</v>
      </c>
      <c r="BM98" s="1">
        <v>47</v>
      </c>
      <c r="BN98" s="1">
        <v>1</v>
      </c>
      <c r="BO98" s="1">
        <v>0</v>
      </c>
      <c r="BP98" s="1" t="s">
        <v>453</v>
      </c>
      <c r="BQ98" s="1" t="s">
        <v>453</v>
      </c>
      <c r="BR98" s="1" t="s">
        <v>453</v>
      </c>
      <c r="BS98" s="1" t="s">
        <v>453</v>
      </c>
      <c r="BT98" s="1" t="s">
        <v>453</v>
      </c>
      <c r="BU98" s="1" t="s">
        <v>453</v>
      </c>
      <c r="BV98" s="1" t="s">
        <v>453</v>
      </c>
      <c r="BW98" s="1" t="s">
        <v>453</v>
      </c>
      <c r="BX98" s="1" t="s">
        <v>453</v>
      </c>
      <c r="BY98" s="1" t="s">
        <v>453</v>
      </c>
    </row>
    <row r="99" spans="1:77">
      <c r="A99" s="1">
        <v>9</v>
      </c>
      <c r="B99" s="1" t="s">
        <v>514</v>
      </c>
      <c r="C99" s="7" t="s">
        <v>245</v>
      </c>
      <c r="D99" s="1" t="s">
        <v>713</v>
      </c>
      <c r="E99" s="1" t="s">
        <v>489</v>
      </c>
      <c r="F99" s="7" t="s">
        <v>617</v>
      </c>
      <c r="G99" s="7" t="s">
        <v>490</v>
      </c>
      <c r="H99" s="10">
        <v>53998155</v>
      </c>
      <c r="I99" s="10">
        <v>54166994</v>
      </c>
      <c r="J99" s="10">
        <v>1169516</v>
      </c>
      <c r="K99" s="48">
        <v>17687110</v>
      </c>
      <c r="L99" s="48">
        <v>265069</v>
      </c>
      <c r="M99" s="48">
        <v>119423</v>
      </c>
      <c r="N99" s="48">
        <v>17120153</v>
      </c>
      <c r="O99" s="48">
        <v>9479</v>
      </c>
      <c r="P99" s="48">
        <v>0</v>
      </c>
      <c r="Q99" s="48">
        <v>2574099</v>
      </c>
      <c r="R99" s="10">
        <v>10697605</v>
      </c>
      <c r="S99" s="10">
        <v>2072377</v>
      </c>
      <c r="T99" s="10">
        <v>16786</v>
      </c>
      <c r="U99" s="10">
        <v>201857</v>
      </c>
      <c r="V99" s="10">
        <v>52683572</v>
      </c>
      <c r="W99" s="12">
        <v>8.2000000000000003E-2</v>
      </c>
      <c r="X99" s="10">
        <v>0</v>
      </c>
      <c r="Y99" s="22">
        <f>1823250/52481715</f>
        <v>3.474067110802305E-2</v>
      </c>
      <c r="Z99" s="10">
        <v>1820404</v>
      </c>
      <c r="AA99" s="10">
        <v>0</v>
      </c>
      <c r="AB99" s="10">
        <f>154150+11312+4298</f>
        <v>169760</v>
      </c>
      <c r="AC99" s="10">
        <v>958297</v>
      </c>
      <c r="AD99" s="10">
        <v>77402</v>
      </c>
      <c r="AE99" s="10">
        <v>197906</v>
      </c>
      <c r="AF99" s="10">
        <v>227660</v>
      </c>
      <c r="AG99" s="10">
        <v>5523</v>
      </c>
      <c r="AH99" s="10">
        <v>24472</v>
      </c>
      <c r="AI99" s="10">
        <v>2518</v>
      </c>
      <c r="AJ99" s="10">
        <v>104836</v>
      </c>
      <c r="AK99" s="10">
        <f>40053+38878+65758</f>
        <v>144689</v>
      </c>
      <c r="AL99" s="10">
        <v>12215</v>
      </c>
      <c r="AM99" s="10">
        <v>68709</v>
      </c>
      <c r="AN99" s="10">
        <v>33519</v>
      </c>
      <c r="AO99" s="10">
        <v>0</v>
      </c>
      <c r="AP99" s="10">
        <v>2062945</v>
      </c>
      <c r="AQ99" s="10">
        <v>2310840</v>
      </c>
      <c r="AR99" s="12">
        <f t="shared" si="9"/>
        <v>0</v>
      </c>
      <c r="AS99" s="10">
        <v>0</v>
      </c>
      <c r="AT99" s="10">
        <v>0</v>
      </c>
      <c r="AU99" s="10">
        <v>139662</v>
      </c>
      <c r="AV99" s="10">
        <v>0</v>
      </c>
      <c r="AW99" s="10">
        <v>272924</v>
      </c>
      <c r="AX99" s="10">
        <v>0</v>
      </c>
      <c r="AY99" s="10">
        <v>0</v>
      </c>
      <c r="AZ99" s="10">
        <v>0</v>
      </c>
      <c r="BA99" s="10">
        <v>7482</v>
      </c>
      <c r="BB99" s="10">
        <v>3044</v>
      </c>
      <c r="BC99" s="10">
        <v>0</v>
      </c>
      <c r="BD99" s="10">
        <v>0</v>
      </c>
      <c r="BE99" s="10">
        <v>-380</v>
      </c>
      <c r="BF99" s="10">
        <v>-1138</v>
      </c>
      <c r="BG99" s="10">
        <v>-1198</v>
      </c>
      <c r="BH99" s="10">
        <v>-1</v>
      </c>
      <c r="BI99" s="10">
        <f t="shared" si="10"/>
        <v>7809</v>
      </c>
      <c r="BJ99" s="1">
        <v>91</v>
      </c>
      <c r="BK99" s="1">
        <v>388</v>
      </c>
      <c r="BL99" s="1">
        <v>87</v>
      </c>
      <c r="BM99" s="1">
        <v>723</v>
      </c>
      <c r="BN99" s="1">
        <v>0</v>
      </c>
      <c r="BO99" s="1">
        <v>0</v>
      </c>
      <c r="BP99" s="1">
        <v>71</v>
      </c>
      <c r="BQ99" s="1">
        <v>24</v>
      </c>
      <c r="BR99" s="1">
        <v>207</v>
      </c>
      <c r="BS99" s="1">
        <v>0</v>
      </c>
      <c r="BT99" s="1">
        <v>0</v>
      </c>
      <c r="BU99" s="1">
        <v>239</v>
      </c>
      <c r="BV99" s="1">
        <v>32</v>
      </c>
      <c r="BW99" s="1">
        <v>429</v>
      </c>
      <c r="BX99" s="1">
        <v>0</v>
      </c>
      <c r="BY99" s="1">
        <v>0</v>
      </c>
    </row>
    <row r="100" spans="1:77">
      <c r="A100" s="1">
        <v>9</v>
      </c>
      <c r="B100" s="1" t="s">
        <v>571</v>
      </c>
      <c r="C100" s="7" t="s">
        <v>91</v>
      </c>
      <c r="D100" s="1" t="s">
        <v>266</v>
      </c>
      <c r="E100" s="1" t="s">
        <v>423</v>
      </c>
      <c r="F100" s="7" t="s">
        <v>695</v>
      </c>
      <c r="G100" s="7" t="s">
        <v>425</v>
      </c>
      <c r="H100" s="10">
        <v>16989447</v>
      </c>
      <c r="I100" s="10">
        <v>17059387</v>
      </c>
      <c r="J100" s="10">
        <v>522074</v>
      </c>
      <c r="K100" s="48">
        <v>4325548</v>
      </c>
      <c r="L100" s="48">
        <v>692951</v>
      </c>
      <c r="M100" s="48">
        <v>0</v>
      </c>
      <c r="N100" s="48">
        <v>4642953</v>
      </c>
      <c r="O100" s="48">
        <v>0</v>
      </c>
      <c r="P100" s="48">
        <v>0</v>
      </c>
      <c r="Q100" s="48">
        <v>702630</v>
      </c>
      <c r="R100" s="10">
        <v>3771462</v>
      </c>
      <c r="S100" s="10">
        <v>1195004</v>
      </c>
      <c r="T100" s="10">
        <v>0</v>
      </c>
      <c r="U100" s="10">
        <v>11294</v>
      </c>
      <c r="V100" s="10">
        <v>16371451</v>
      </c>
      <c r="W100" s="12">
        <v>0.12</v>
      </c>
      <c r="X100" s="10">
        <v>0</v>
      </c>
      <c r="Y100" s="22">
        <f>883448/16360157</f>
        <v>5.3999970782676474E-2</v>
      </c>
      <c r="Z100" s="10">
        <v>884627</v>
      </c>
      <c r="AA100" s="10">
        <v>0</v>
      </c>
      <c r="AB100" s="10">
        <f>59172+2525</f>
        <v>61697</v>
      </c>
      <c r="AC100" s="10">
        <v>349598</v>
      </c>
      <c r="AD100" s="10">
        <v>28293</v>
      </c>
      <c r="AE100" s="10">
        <v>85401</v>
      </c>
      <c r="AF100" s="10">
        <f>49090+6307</f>
        <v>55397</v>
      </c>
      <c r="AG100" s="10">
        <v>1020</v>
      </c>
      <c r="AH100" s="10">
        <v>26589</v>
      </c>
      <c r="AI100" s="10">
        <v>5</v>
      </c>
      <c r="AJ100" s="10">
        <v>9624</v>
      </c>
      <c r="AK100" s="10">
        <f>9742+28286+24605</f>
        <v>62633</v>
      </c>
      <c r="AL100" s="10">
        <v>6558</v>
      </c>
      <c r="AM100" s="10">
        <v>579</v>
      </c>
      <c r="AN100" s="10">
        <v>53457</v>
      </c>
      <c r="AO100" s="10">
        <v>0</v>
      </c>
      <c r="AP100" s="10">
        <v>780283</v>
      </c>
      <c r="AQ100" s="10">
        <v>806889</v>
      </c>
      <c r="AR100" s="12">
        <f t="shared" si="9"/>
        <v>0</v>
      </c>
      <c r="AS100" s="10">
        <v>0</v>
      </c>
      <c r="AT100" s="10">
        <v>0</v>
      </c>
      <c r="AU100" s="10">
        <v>139662</v>
      </c>
      <c r="AV100" s="10">
        <v>0</v>
      </c>
      <c r="AW100" s="10">
        <v>123529</v>
      </c>
      <c r="AX100" s="10">
        <v>0</v>
      </c>
      <c r="AY100" s="10">
        <v>0</v>
      </c>
      <c r="AZ100" s="10">
        <v>0</v>
      </c>
      <c r="BA100" s="10">
        <v>2743</v>
      </c>
      <c r="BB100" s="10">
        <v>996</v>
      </c>
      <c r="BC100" s="10">
        <v>28</v>
      </c>
      <c r="BD100" s="10">
        <v>7</v>
      </c>
      <c r="BE100" s="10">
        <v>-111</v>
      </c>
      <c r="BF100" s="10">
        <v>-502</v>
      </c>
      <c r="BG100" s="10">
        <v>-393</v>
      </c>
      <c r="BH100" s="10">
        <v>0</v>
      </c>
      <c r="BI100" s="10">
        <f t="shared" si="10"/>
        <v>2768</v>
      </c>
      <c r="BJ100" s="1">
        <v>3</v>
      </c>
      <c r="BK100" s="1">
        <v>126</v>
      </c>
      <c r="BL100" s="1">
        <v>52</v>
      </c>
      <c r="BM100" s="1">
        <v>207</v>
      </c>
      <c r="BN100" s="1">
        <v>0</v>
      </c>
      <c r="BO100" s="1">
        <v>0</v>
      </c>
      <c r="BP100" s="1">
        <v>0</v>
      </c>
      <c r="BQ100" s="1">
        <v>2</v>
      </c>
      <c r="BR100" s="1">
        <v>23</v>
      </c>
      <c r="BS100" s="1">
        <v>64</v>
      </c>
      <c r="BT100" s="1">
        <v>0</v>
      </c>
      <c r="BU100" s="1">
        <v>5</v>
      </c>
      <c r="BV100" s="1">
        <v>8</v>
      </c>
      <c r="BW100" s="1">
        <v>67</v>
      </c>
      <c r="BX100" s="1">
        <v>244</v>
      </c>
      <c r="BY100" s="1">
        <v>8</v>
      </c>
    </row>
    <row r="101" spans="1:77">
      <c r="A101" s="1">
        <v>9</v>
      </c>
      <c r="B101" s="1" t="s">
        <v>576</v>
      </c>
      <c r="C101" s="7" t="s">
        <v>654</v>
      </c>
      <c r="D101" s="1" t="s">
        <v>111</v>
      </c>
      <c r="E101" s="1" t="s">
        <v>489</v>
      </c>
      <c r="F101" s="7" t="s">
        <v>478</v>
      </c>
      <c r="G101" s="7" t="s">
        <v>490</v>
      </c>
      <c r="H101" s="10">
        <v>9125105</v>
      </c>
      <c r="I101" s="10">
        <v>9128790</v>
      </c>
      <c r="J101" s="10">
        <v>214763</v>
      </c>
      <c r="K101" s="48">
        <v>28443</v>
      </c>
      <c r="L101" s="48">
        <v>534043</v>
      </c>
      <c r="M101" s="48">
        <v>3487977</v>
      </c>
      <c r="N101" s="48">
        <v>0</v>
      </c>
      <c r="O101" s="48">
        <v>0</v>
      </c>
      <c r="P101" s="48">
        <v>530644</v>
      </c>
      <c r="Q101" s="48">
        <v>0</v>
      </c>
      <c r="R101" s="10">
        <v>3188480</v>
      </c>
      <c r="S101" s="10">
        <v>542612</v>
      </c>
      <c r="T101" s="10">
        <v>4694</v>
      </c>
      <c r="U101" s="10">
        <v>0</v>
      </c>
      <c r="V101" s="10">
        <v>8899690</v>
      </c>
      <c r="W101" s="12">
        <v>9.3299999999999994E-2</v>
      </c>
      <c r="X101" s="10">
        <v>0</v>
      </c>
      <c r="Y101" s="22">
        <f>555490/8874028</f>
        <v>6.2597278259658412E-2</v>
      </c>
      <c r="Z101" s="10">
        <v>553795</v>
      </c>
      <c r="AA101" s="10">
        <v>0</v>
      </c>
      <c r="AB101" s="10">
        <f>3685+535</f>
        <v>4220</v>
      </c>
      <c r="AC101" s="10">
        <v>203139</v>
      </c>
      <c r="AD101" s="10">
        <v>15650</v>
      </c>
      <c r="AE101" s="10">
        <v>38275</v>
      </c>
      <c r="AF101" s="10">
        <v>65276</v>
      </c>
      <c r="AG101" s="10">
        <v>26</v>
      </c>
      <c r="AH101" s="10">
        <v>11944</v>
      </c>
      <c r="AI101" s="10">
        <v>19490</v>
      </c>
      <c r="AJ101" s="10">
        <v>0</v>
      </c>
      <c r="AK101" s="10">
        <f>7831+12070+9965</f>
        <v>29866</v>
      </c>
      <c r="AL101" s="10">
        <v>8585</v>
      </c>
      <c r="AM101" s="10">
        <v>7796</v>
      </c>
      <c r="AN101" s="10">
        <v>15181</v>
      </c>
      <c r="AO101" s="10">
        <v>0</v>
      </c>
      <c r="AP101" s="10">
        <v>438730</v>
      </c>
      <c r="AQ101" s="10">
        <v>456117</v>
      </c>
      <c r="AR101" s="12">
        <f t="shared" ref="AR101:AR132" si="11">AO101/AP101</f>
        <v>0</v>
      </c>
      <c r="AS101" s="10">
        <v>177</v>
      </c>
      <c r="AT101" s="10">
        <v>0</v>
      </c>
      <c r="AU101" s="10">
        <v>139662</v>
      </c>
      <c r="AV101" s="10">
        <v>0</v>
      </c>
      <c r="AW101" s="10">
        <v>46511</v>
      </c>
      <c r="AX101" s="10">
        <v>0</v>
      </c>
      <c r="AY101" s="10">
        <v>0</v>
      </c>
      <c r="AZ101" s="10">
        <v>0</v>
      </c>
      <c r="BA101" s="10">
        <v>1887</v>
      </c>
      <c r="BB101" s="10">
        <v>719</v>
      </c>
      <c r="BC101" s="10">
        <v>0</v>
      </c>
      <c r="BD101" s="10">
        <v>0</v>
      </c>
      <c r="BE101" s="10">
        <v>-139</v>
      </c>
      <c r="BF101" s="10">
        <v>-197</v>
      </c>
      <c r="BG101" s="10">
        <v>-404</v>
      </c>
      <c r="BH101" s="10">
        <v>-22</v>
      </c>
      <c r="BI101" s="10">
        <f t="shared" si="10"/>
        <v>1844</v>
      </c>
      <c r="BJ101" s="1">
        <v>0</v>
      </c>
      <c r="BK101" s="1">
        <v>95</v>
      </c>
      <c r="BL101" s="1">
        <v>61</v>
      </c>
      <c r="BM101" s="1">
        <v>241</v>
      </c>
      <c r="BN101" s="1">
        <v>0</v>
      </c>
      <c r="BO101" s="1">
        <v>6</v>
      </c>
      <c r="BP101" s="1">
        <v>1</v>
      </c>
      <c r="BQ101" s="1">
        <v>2</v>
      </c>
      <c r="BR101" s="1">
        <v>30</v>
      </c>
      <c r="BS101" s="1">
        <v>72</v>
      </c>
      <c r="BT101" s="1">
        <v>4</v>
      </c>
      <c r="BU101" s="1">
        <v>1</v>
      </c>
      <c r="BV101" s="1">
        <v>4</v>
      </c>
      <c r="BW101" s="1">
        <v>28</v>
      </c>
      <c r="BX101" s="1">
        <v>105</v>
      </c>
      <c r="BY101" s="1">
        <v>4</v>
      </c>
    </row>
    <row r="102" spans="1:77">
      <c r="A102" s="1">
        <v>9</v>
      </c>
      <c r="B102" s="1" t="s">
        <v>579</v>
      </c>
      <c r="C102" s="7" t="s">
        <v>168</v>
      </c>
      <c r="D102" s="1" t="s">
        <v>619</v>
      </c>
      <c r="E102" s="1" t="s">
        <v>423</v>
      </c>
      <c r="F102" s="7" t="s">
        <v>205</v>
      </c>
      <c r="G102" s="7" t="s">
        <v>425</v>
      </c>
      <c r="H102" s="10">
        <v>80121201</v>
      </c>
      <c r="I102" s="10">
        <v>80304225</v>
      </c>
      <c r="J102" s="10">
        <v>2846059</v>
      </c>
      <c r="K102" s="48">
        <v>25939026</v>
      </c>
      <c r="L102" s="48">
        <v>3740859</v>
      </c>
      <c r="M102" s="48">
        <v>17557070</v>
      </c>
      <c r="N102" s="48">
        <v>0</v>
      </c>
      <c r="O102" s="48">
        <v>0</v>
      </c>
      <c r="P102" s="48">
        <v>0</v>
      </c>
      <c r="Q102" s="48">
        <v>2504058</v>
      </c>
      <c r="R102" s="10">
        <v>15339534</v>
      </c>
      <c r="S102" s="10">
        <v>4519563</v>
      </c>
      <c r="T102" s="10">
        <v>61564</v>
      </c>
      <c r="U102" s="10">
        <v>0</v>
      </c>
      <c r="V102" s="10">
        <v>73730635</v>
      </c>
      <c r="W102" s="12">
        <v>7.5800000000000006E-2</v>
      </c>
      <c r="X102" s="10">
        <v>0</v>
      </c>
      <c r="Y102" s="22">
        <f>4065551/73399253</f>
        <v>5.5389541907190802E-2</v>
      </c>
      <c r="Z102" s="10">
        <v>4066149</v>
      </c>
      <c r="AA102" s="10">
        <v>0</v>
      </c>
      <c r="AB102" s="10">
        <f>183024+12038</f>
        <v>195062</v>
      </c>
      <c r="AC102" s="10">
        <v>1324586</v>
      </c>
      <c r="AD102" s="10">
        <v>118390</v>
      </c>
      <c r="AE102" s="10">
        <v>239453</v>
      </c>
      <c r="AF102" s="10">
        <f>303986+17019</f>
        <v>321005</v>
      </c>
      <c r="AG102" s="10">
        <v>4346</v>
      </c>
      <c r="AH102" s="10">
        <v>18012</v>
      </c>
      <c r="AI102" s="10">
        <v>13998</v>
      </c>
      <c r="AJ102" s="10">
        <v>0</v>
      </c>
      <c r="AK102" s="10">
        <f>53932+98141+96065</f>
        <v>248138</v>
      </c>
      <c r="AL102" s="10">
        <v>25636</v>
      </c>
      <c r="AM102" s="10">
        <v>876</v>
      </c>
      <c r="AN102" s="10">
        <v>90494</v>
      </c>
      <c r="AO102" s="10">
        <v>22842</v>
      </c>
      <c r="AP102" s="10">
        <v>4175797</v>
      </c>
      <c r="AQ102" s="10">
        <v>4258242</v>
      </c>
      <c r="AR102" s="12">
        <f t="shared" si="11"/>
        <v>5.470093493529499E-3</v>
      </c>
      <c r="AS102" s="10">
        <v>751</v>
      </c>
      <c r="AT102" s="10">
        <v>0</v>
      </c>
      <c r="AU102" s="10">
        <v>139662</v>
      </c>
      <c r="AV102" s="10">
        <v>0</v>
      </c>
      <c r="AW102" s="10">
        <v>415549</v>
      </c>
      <c r="AX102" s="10">
        <v>0</v>
      </c>
      <c r="AY102" s="10">
        <v>0</v>
      </c>
      <c r="AZ102" s="10">
        <v>0</v>
      </c>
      <c r="BA102" s="10">
        <v>13328</v>
      </c>
      <c r="BB102" s="10">
        <v>4397</v>
      </c>
      <c r="BC102" s="10">
        <v>0</v>
      </c>
      <c r="BD102" s="10">
        <v>-6357</v>
      </c>
      <c r="BE102" s="10">
        <v>-446</v>
      </c>
      <c r="BF102" s="10">
        <v>-2741</v>
      </c>
      <c r="BG102" s="10">
        <v>-1132</v>
      </c>
      <c r="BH102" s="10">
        <v>-10</v>
      </c>
      <c r="BI102" s="10">
        <f t="shared" si="10"/>
        <v>7039</v>
      </c>
      <c r="BJ102" s="1">
        <v>100</v>
      </c>
      <c r="BK102" s="1">
        <v>434</v>
      </c>
      <c r="BL102" s="1">
        <v>159</v>
      </c>
      <c r="BM102" s="1">
        <v>388</v>
      </c>
      <c r="BN102" s="1">
        <v>9</v>
      </c>
      <c r="BO102" s="1">
        <v>41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</row>
    <row r="103" spans="1:77">
      <c r="A103" s="31">
        <v>9</v>
      </c>
      <c r="B103" s="7" t="s">
        <v>646</v>
      </c>
      <c r="C103" s="7" t="s">
        <v>640</v>
      </c>
      <c r="D103" s="7" t="s">
        <v>186</v>
      </c>
      <c r="E103" s="7" t="s">
        <v>423</v>
      </c>
      <c r="F103" s="7" t="s">
        <v>205</v>
      </c>
      <c r="G103" s="7" t="s">
        <v>425</v>
      </c>
      <c r="H103" s="10">
        <v>12314705</v>
      </c>
      <c r="I103" s="10">
        <v>13352653</v>
      </c>
      <c r="J103" s="10">
        <v>338959</v>
      </c>
      <c r="K103" s="48">
        <v>0</v>
      </c>
      <c r="L103" s="48">
        <v>0</v>
      </c>
      <c r="M103" s="48">
        <v>0</v>
      </c>
      <c r="N103" s="48">
        <v>6479469</v>
      </c>
      <c r="O103" s="48">
        <v>0</v>
      </c>
      <c r="P103" s="48">
        <v>0</v>
      </c>
      <c r="Q103" s="48">
        <v>182973</v>
      </c>
      <c r="R103" s="10">
        <v>1380519</v>
      </c>
      <c r="S103" s="10">
        <v>864785</v>
      </c>
      <c r="T103" s="10">
        <v>13426</v>
      </c>
      <c r="U103" s="10">
        <v>0</v>
      </c>
      <c r="V103" s="10">
        <v>9462990</v>
      </c>
      <c r="W103" s="12">
        <v>0.2848</v>
      </c>
      <c r="X103" s="10">
        <v>0</v>
      </c>
      <c r="Y103" s="22">
        <f>539696/9449564</f>
        <v>5.7113322900400484E-2</v>
      </c>
      <c r="Z103" s="10">
        <v>541633</v>
      </c>
      <c r="AA103" s="10">
        <v>0</v>
      </c>
      <c r="AB103" s="10">
        <f>43375+1031</f>
        <v>44406</v>
      </c>
      <c r="AC103" s="10">
        <v>258271</v>
      </c>
      <c r="AD103" s="10">
        <v>24286</v>
      </c>
      <c r="AE103" s="10">
        <v>49217</v>
      </c>
      <c r="AF103" s="10">
        <f>70143+7716</f>
        <v>77859</v>
      </c>
      <c r="AG103" s="10">
        <v>1002</v>
      </c>
      <c r="AH103" s="10">
        <v>9885</v>
      </c>
      <c r="AI103" s="10">
        <v>10554</v>
      </c>
      <c r="AJ103" s="10">
        <v>0</v>
      </c>
      <c r="AK103" s="10">
        <f>15427+25010+40640</f>
        <v>81077</v>
      </c>
      <c r="AL103" s="10">
        <v>10497</v>
      </c>
      <c r="AM103" s="10">
        <v>0</v>
      </c>
      <c r="AN103" s="10">
        <v>9271</v>
      </c>
      <c r="AO103" s="10">
        <v>0</v>
      </c>
      <c r="AP103" s="10">
        <v>586725</v>
      </c>
      <c r="AQ103" s="10">
        <v>597676</v>
      </c>
      <c r="AR103" s="12">
        <f t="shared" si="11"/>
        <v>0</v>
      </c>
      <c r="AS103" s="10">
        <v>0</v>
      </c>
      <c r="AT103" s="10">
        <v>0</v>
      </c>
      <c r="AU103" s="10">
        <v>70429</v>
      </c>
      <c r="AV103" s="10">
        <v>0</v>
      </c>
      <c r="AW103" s="10">
        <v>92315</v>
      </c>
      <c r="AX103" s="10">
        <v>0</v>
      </c>
      <c r="AY103" s="10">
        <v>0</v>
      </c>
      <c r="AZ103" s="10">
        <v>0</v>
      </c>
      <c r="BA103" s="10">
        <v>3059</v>
      </c>
      <c r="BB103" s="10">
        <v>1025</v>
      </c>
      <c r="BC103" s="10">
        <v>4</v>
      </c>
      <c r="BD103" s="10">
        <f>15+20-11</f>
        <v>24</v>
      </c>
      <c r="BE103" s="10">
        <v>-41</v>
      </c>
      <c r="BF103" s="10">
        <v>-338</v>
      </c>
      <c r="BG103" s="10">
        <v>-16</v>
      </c>
      <c r="BH103" s="10">
        <v>-4</v>
      </c>
      <c r="BI103" s="10">
        <f t="shared" si="10"/>
        <v>3713</v>
      </c>
      <c r="BJ103" s="1">
        <v>0</v>
      </c>
      <c r="BK103" s="1" t="s">
        <v>453</v>
      </c>
      <c r="BL103" s="1" t="s">
        <v>453</v>
      </c>
      <c r="BM103" s="1" t="s">
        <v>453</v>
      </c>
      <c r="BN103" s="1" t="s">
        <v>453</v>
      </c>
      <c r="BO103" s="1" t="s">
        <v>453</v>
      </c>
      <c r="BP103" s="1" t="s">
        <v>453</v>
      </c>
      <c r="BQ103" s="1" t="s">
        <v>453</v>
      </c>
      <c r="BR103" s="1" t="s">
        <v>453</v>
      </c>
      <c r="BS103" s="1" t="s">
        <v>453</v>
      </c>
      <c r="BT103" s="1" t="s">
        <v>453</v>
      </c>
      <c r="BU103" s="1" t="s">
        <v>453</v>
      </c>
      <c r="BV103" s="1" t="s">
        <v>453</v>
      </c>
      <c r="BW103" s="1" t="s">
        <v>453</v>
      </c>
      <c r="BX103" s="1" t="s">
        <v>453</v>
      </c>
      <c r="BY103" s="1" t="s">
        <v>453</v>
      </c>
    </row>
    <row r="104" spans="1:77">
      <c r="A104" s="1">
        <v>9</v>
      </c>
      <c r="B104" s="1" t="s">
        <v>687</v>
      </c>
      <c r="C104" s="7" t="s">
        <v>452</v>
      </c>
      <c r="D104" s="1" t="s">
        <v>137</v>
      </c>
      <c r="E104" s="1" t="s">
        <v>489</v>
      </c>
      <c r="F104" s="7" t="s">
        <v>478</v>
      </c>
      <c r="G104" s="7" t="s">
        <v>490</v>
      </c>
      <c r="H104" s="10">
        <v>24571911</v>
      </c>
      <c r="I104" s="10">
        <v>24797460</v>
      </c>
      <c r="J104" s="10">
        <v>2166608</v>
      </c>
      <c r="K104" s="48">
        <v>8868</v>
      </c>
      <c r="L104" s="48">
        <v>4118664</v>
      </c>
      <c r="M104" s="48">
        <v>978413</v>
      </c>
      <c r="N104" s="48">
        <v>5951590</v>
      </c>
      <c r="O104" s="48">
        <v>2867</v>
      </c>
      <c r="P104" s="48">
        <v>261728</v>
      </c>
      <c r="Q104" s="48">
        <v>1988653</v>
      </c>
      <c r="R104" s="10">
        <v>6197158</v>
      </c>
      <c r="S104" s="10">
        <v>1007656</v>
      </c>
      <c r="T104" s="10">
        <v>25920</v>
      </c>
      <c r="U104" s="10">
        <v>0</v>
      </c>
      <c r="V104" s="10">
        <v>21940832</v>
      </c>
      <c r="W104" s="12">
        <v>0.1</v>
      </c>
      <c r="X104" s="10">
        <v>0</v>
      </c>
      <c r="Y104" s="22">
        <f>1395814/21871099</f>
        <v>6.3820021115536987E-2</v>
      </c>
      <c r="Z104" s="10">
        <v>1395208</v>
      </c>
      <c r="AA104" s="10">
        <v>0</v>
      </c>
      <c r="AB104" s="10">
        <f>208150+13134+1405</f>
        <v>222689</v>
      </c>
      <c r="AC104" s="10">
        <v>711398</v>
      </c>
      <c r="AD104" s="10">
        <v>56772</v>
      </c>
      <c r="AE104" s="10">
        <v>171316</v>
      </c>
      <c r="AF104" s="10">
        <f>84220+14000</f>
        <v>98220</v>
      </c>
      <c r="AG104" s="10">
        <v>8943</v>
      </c>
      <c r="AH104" s="10">
        <v>96588</v>
      </c>
      <c r="AI104" s="10">
        <v>864</v>
      </c>
      <c r="AJ104" s="10">
        <v>154981</v>
      </c>
      <c r="AK104" s="10">
        <f>7404+39782+29612</f>
        <v>76798</v>
      </c>
      <c r="AL104" s="10">
        <v>10045</v>
      </c>
      <c r="AM104" s="10">
        <v>48348</v>
      </c>
      <c r="AN104" s="10">
        <v>7469</v>
      </c>
      <c r="AO104" s="10">
        <v>0</v>
      </c>
      <c r="AP104" s="10">
        <v>1492004</v>
      </c>
      <c r="AQ104" s="10">
        <v>1500857</v>
      </c>
      <c r="AR104" s="12">
        <f t="shared" si="11"/>
        <v>0</v>
      </c>
      <c r="AS104" s="10">
        <v>0</v>
      </c>
      <c r="AT104" s="10">
        <v>0</v>
      </c>
      <c r="AU104" s="10">
        <v>139662</v>
      </c>
      <c r="AV104" s="10">
        <v>0</v>
      </c>
      <c r="AW104" s="10">
        <v>200456</v>
      </c>
      <c r="AX104" s="10">
        <v>0</v>
      </c>
      <c r="AY104" s="10">
        <v>0</v>
      </c>
      <c r="AZ104" s="10">
        <v>0</v>
      </c>
      <c r="BA104" s="10">
        <v>4469</v>
      </c>
      <c r="BB104" s="10">
        <v>2815</v>
      </c>
      <c r="BC104" s="10">
        <v>37</v>
      </c>
      <c r="BD104" s="10">
        <v>-3</v>
      </c>
      <c r="BE104" s="10">
        <v>-217</v>
      </c>
      <c r="BF104" s="10">
        <v>-1358</v>
      </c>
      <c r="BG104" s="10">
        <v>-579</v>
      </c>
      <c r="BH104" s="10">
        <v>-3</v>
      </c>
      <c r="BI104" s="10">
        <f t="shared" si="10"/>
        <v>5161</v>
      </c>
      <c r="BJ104" s="1">
        <v>10</v>
      </c>
      <c r="BK104" s="1">
        <v>179</v>
      </c>
      <c r="BL104" s="1">
        <v>54</v>
      </c>
      <c r="BM104" s="1">
        <v>299</v>
      </c>
      <c r="BN104" s="1">
        <v>37</v>
      </c>
      <c r="BO104" s="1">
        <v>10</v>
      </c>
      <c r="BP104" s="1" t="s">
        <v>453</v>
      </c>
      <c r="BQ104" s="1" t="s">
        <v>453</v>
      </c>
      <c r="BR104" s="1" t="s">
        <v>453</v>
      </c>
      <c r="BS104" s="1" t="s">
        <v>453</v>
      </c>
      <c r="BT104" s="1" t="s">
        <v>453</v>
      </c>
      <c r="BU104" s="1" t="s">
        <v>453</v>
      </c>
      <c r="BV104" s="1" t="s">
        <v>453</v>
      </c>
      <c r="BW104" s="1" t="s">
        <v>453</v>
      </c>
      <c r="BX104" s="1" t="s">
        <v>453</v>
      </c>
      <c r="BY104" s="1" t="s">
        <v>453</v>
      </c>
    </row>
    <row r="105" spans="1:77">
      <c r="A105" s="1">
        <v>10</v>
      </c>
      <c r="B105" s="1" t="s">
        <v>24</v>
      </c>
      <c r="C105" s="7" t="s">
        <v>198</v>
      </c>
      <c r="D105" s="1" t="s">
        <v>242</v>
      </c>
      <c r="E105" s="1" t="s">
        <v>311</v>
      </c>
      <c r="F105" s="7" t="s">
        <v>478</v>
      </c>
      <c r="G105" s="7" t="s">
        <v>313</v>
      </c>
      <c r="H105" s="10">
        <v>4753187</v>
      </c>
      <c r="I105" s="10">
        <v>4798058</v>
      </c>
      <c r="J105" s="10">
        <v>128121</v>
      </c>
      <c r="K105" s="48">
        <v>186546</v>
      </c>
      <c r="L105" s="48">
        <v>19254</v>
      </c>
      <c r="M105" s="48">
        <v>0</v>
      </c>
      <c r="N105" s="48">
        <v>2014506</v>
      </c>
      <c r="O105" s="48">
        <v>0</v>
      </c>
      <c r="P105" s="48">
        <v>0</v>
      </c>
      <c r="Q105" s="48">
        <v>196495</v>
      </c>
      <c r="R105" s="10">
        <v>1182439</v>
      </c>
      <c r="S105" s="10">
        <v>482712</v>
      </c>
      <c r="T105" s="10">
        <v>2341</v>
      </c>
      <c r="U105" s="10">
        <v>0</v>
      </c>
      <c r="V105" s="10">
        <v>4375230</v>
      </c>
      <c r="W105" s="12">
        <v>0.21</v>
      </c>
      <c r="X105" s="10">
        <v>0</v>
      </c>
      <c r="Y105" s="22">
        <f>289787/4370165</f>
        <v>6.6310310937916533E-2</v>
      </c>
      <c r="Z105" s="10">
        <v>288213</v>
      </c>
      <c r="AA105" s="10">
        <v>0</v>
      </c>
      <c r="AB105" s="10">
        <f>44871+2890+697</f>
        <v>48458</v>
      </c>
      <c r="AC105" s="10">
        <v>99306</v>
      </c>
      <c r="AD105" s="10">
        <v>7596</v>
      </c>
      <c r="AE105" s="10">
        <v>12671</v>
      </c>
      <c r="AF105" s="10">
        <v>11370</v>
      </c>
      <c r="AG105" s="10">
        <v>7500</v>
      </c>
      <c r="AH105" s="10">
        <v>7652</v>
      </c>
      <c r="AI105" s="10">
        <v>127</v>
      </c>
      <c r="AJ105" s="10">
        <v>0</v>
      </c>
      <c r="AK105" s="10">
        <f>5091+5896+4801</f>
        <v>15788</v>
      </c>
      <c r="AL105" s="10">
        <v>5405</v>
      </c>
      <c r="AM105" s="10">
        <v>962</v>
      </c>
      <c r="AN105" s="10">
        <v>2273</v>
      </c>
      <c r="AO105" s="10">
        <v>47764</v>
      </c>
      <c r="AP105" s="10">
        <v>200220</v>
      </c>
      <c r="AQ105" s="10">
        <v>209737</v>
      </c>
      <c r="AR105" s="12">
        <f t="shared" si="11"/>
        <v>0.23855758665467985</v>
      </c>
      <c r="AS105" s="10">
        <v>0</v>
      </c>
      <c r="AT105" s="10">
        <v>0</v>
      </c>
      <c r="AU105" s="10">
        <v>139662</v>
      </c>
      <c r="AV105" s="10">
        <v>0</v>
      </c>
      <c r="AW105" s="10">
        <v>21266</v>
      </c>
      <c r="AX105" s="10">
        <v>0</v>
      </c>
      <c r="AY105" s="10">
        <v>0</v>
      </c>
      <c r="AZ105" s="10">
        <v>0</v>
      </c>
      <c r="BA105" s="10">
        <v>706</v>
      </c>
      <c r="BB105" s="10">
        <v>271</v>
      </c>
      <c r="BC105" s="10">
        <v>0</v>
      </c>
      <c r="BD105" s="10">
        <f>4-1</f>
        <v>3</v>
      </c>
      <c r="BE105" s="10">
        <v>-60</v>
      </c>
      <c r="BF105" s="10">
        <v>-155</v>
      </c>
      <c r="BG105" s="10">
        <v>-60</v>
      </c>
      <c r="BH105" s="10">
        <v>-2</v>
      </c>
      <c r="BI105" s="10">
        <f t="shared" si="10"/>
        <v>703</v>
      </c>
      <c r="BJ105" s="1">
        <v>0</v>
      </c>
      <c r="BK105" s="1">
        <v>43</v>
      </c>
      <c r="BL105" s="1">
        <v>9</v>
      </c>
      <c r="BM105" s="1">
        <v>19</v>
      </c>
      <c r="BN105" s="1">
        <v>0</v>
      </c>
      <c r="BO105" s="1">
        <v>0</v>
      </c>
      <c r="BP105" s="1">
        <v>0</v>
      </c>
      <c r="BQ105" s="1">
        <v>0</v>
      </c>
      <c r="BR105" s="1">
        <v>5</v>
      </c>
      <c r="BS105" s="1">
        <v>22</v>
      </c>
      <c r="BT105" s="1">
        <v>0</v>
      </c>
      <c r="BU105" s="1">
        <v>4</v>
      </c>
      <c r="BV105" s="1">
        <v>1</v>
      </c>
      <c r="BW105" s="1">
        <v>11</v>
      </c>
      <c r="BX105" s="1">
        <v>52</v>
      </c>
      <c r="BY105" s="1">
        <v>0</v>
      </c>
    </row>
    <row r="106" spans="1:77">
      <c r="A106" s="1">
        <v>10</v>
      </c>
      <c r="B106" s="1" t="s">
        <v>77</v>
      </c>
      <c r="C106" s="7" t="s">
        <v>339</v>
      </c>
      <c r="D106" s="1" t="s">
        <v>603</v>
      </c>
      <c r="E106" s="1" t="s">
        <v>311</v>
      </c>
      <c r="F106" s="7" t="s">
        <v>617</v>
      </c>
      <c r="G106" s="7" t="s">
        <v>313</v>
      </c>
      <c r="H106" s="10">
        <v>11115490</v>
      </c>
      <c r="I106" s="10">
        <v>11151630</v>
      </c>
      <c r="J106" s="10">
        <v>87739</v>
      </c>
      <c r="K106" s="48">
        <v>1504303</v>
      </c>
      <c r="L106" s="48">
        <v>0</v>
      </c>
      <c r="M106" s="48">
        <v>0</v>
      </c>
      <c r="N106" s="48">
        <v>4854371</v>
      </c>
      <c r="O106" s="48">
        <v>0</v>
      </c>
      <c r="P106" s="48">
        <v>0</v>
      </c>
      <c r="Q106" s="48">
        <v>318832</v>
      </c>
      <c r="R106" s="10">
        <v>2150133</v>
      </c>
      <c r="S106" s="10">
        <v>1212455</v>
      </c>
      <c r="T106" s="10">
        <v>17175</v>
      </c>
      <c r="U106" s="10">
        <v>37625</v>
      </c>
      <c r="V106" s="10">
        <v>10961716</v>
      </c>
      <c r="W106" s="12">
        <v>9.5000000000000001E-2</v>
      </c>
      <c r="X106" s="10">
        <v>1504303</v>
      </c>
      <c r="Y106" s="22">
        <f>736408/9205095</f>
        <v>8.0000043454195743E-2</v>
      </c>
      <c r="Z106" s="10">
        <v>736251</v>
      </c>
      <c r="AA106" s="10">
        <v>0</v>
      </c>
      <c r="AB106" s="10">
        <f>32455+2347</f>
        <v>34802</v>
      </c>
      <c r="AC106" s="10">
        <v>284217</v>
      </c>
      <c r="AD106" s="10">
        <v>23005</v>
      </c>
      <c r="AE106" s="10">
        <v>49692</v>
      </c>
      <c r="AF106" s="10">
        <f>22253+3849</f>
        <v>26102</v>
      </c>
      <c r="AG106" s="10">
        <v>0</v>
      </c>
      <c r="AH106" s="10">
        <v>28700</v>
      </c>
      <c r="AI106" s="10">
        <v>41200</v>
      </c>
      <c r="AJ106" s="10">
        <v>30117</v>
      </c>
      <c r="AK106" s="10">
        <f>12006+15530+24533</f>
        <v>52069</v>
      </c>
      <c r="AL106" s="10">
        <v>5179</v>
      </c>
      <c r="AM106" s="10">
        <v>18176</v>
      </c>
      <c r="AN106" s="10">
        <v>19041</v>
      </c>
      <c r="AO106" s="10">
        <v>82312</v>
      </c>
      <c r="AP106" s="10">
        <v>613802</v>
      </c>
      <c r="AQ106" s="10">
        <v>636073</v>
      </c>
      <c r="AR106" s="12">
        <f t="shared" si="11"/>
        <v>0.13410187650089117</v>
      </c>
      <c r="AS106" s="10">
        <v>0</v>
      </c>
      <c r="AT106" s="10">
        <v>0</v>
      </c>
      <c r="AU106" s="10">
        <v>139662</v>
      </c>
      <c r="AV106" s="10">
        <v>0</v>
      </c>
      <c r="AW106" s="10">
        <v>72389</v>
      </c>
      <c r="AX106" s="10">
        <v>0</v>
      </c>
      <c r="AY106" s="10">
        <v>0</v>
      </c>
      <c r="AZ106" s="10">
        <v>0</v>
      </c>
      <c r="BA106" s="10">
        <v>2627</v>
      </c>
      <c r="BB106" s="10">
        <v>1172</v>
      </c>
      <c r="BC106" s="10">
        <v>28</v>
      </c>
      <c r="BD106" s="10">
        <f>1+20-2</f>
        <v>19</v>
      </c>
      <c r="BE106" s="10">
        <v>-182</v>
      </c>
      <c r="BF106" s="10">
        <v>-500</v>
      </c>
      <c r="BG106" s="10">
        <v>-243</v>
      </c>
      <c r="BH106" s="10">
        <v>0</v>
      </c>
      <c r="BI106" s="10">
        <f t="shared" si="10"/>
        <v>2921</v>
      </c>
      <c r="BJ106" s="1">
        <v>28</v>
      </c>
      <c r="BK106" s="1">
        <v>58</v>
      </c>
      <c r="BL106" s="1">
        <v>27</v>
      </c>
      <c r="BM106" s="1">
        <v>111</v>
      </c>
      <c r="BN106" s="1">
        <v>15</v>
      </c>
      <c r="BO106" s="1">
        <v>0</v>
      </c>
      <c r="BP106" s="1" t="s">
        <v>453</v>
      </c>
      <c r="BQ106" s="1" t="s">
        <v>453</v>
      </c>
      <c r="BR106" s="1" t="s">
        <v>453</v>
      </c>
      <c r="BS106" s="1" t="s">
        <v>453</v>
      </c>
      <c r="BT106" s="1" t="s">
        <v>453</v>
      </c>
      <c r="BU106" s="1" t="s">
        <v>453</v>
      </c>
      <c r="BV106" s="1" t="s">
        <v>453</v>
      </c>
      <c r="BW106" s="1" t="s">
        <v>453</v>
      </c>
      <c r="BX106" s="1" t="s">
        <v>453</v>
      </c>
      <c r="BY106" s="1" t="s">
        <v>453</v>
      </c>
    </row>
    <row r="107" spans="1:77">
      <c r="A107" s="1">
        <v>10</v>
      </c>
      <c r="B107" s="1" t="s">
        <v>85</v>
      </c>
      <c r="C107" s="7" t="s">
        <v>560</v>
      </c>
      <c r="D107" s="1" t="s">
        <v>568</v>
      </c>
      <c r="E107" s="1" t="s">
        <v>309</v>
      </c>
      <c r="F107" s="7" t="s">
        <v>119</v>
      </c>
      <c r="G107" s="7" t="s">
        <v>310</v>
      </c>
      <c r="H107" s="10">
        <v>3261869</v>
      </c>
      <c r="I107" s="10">
        <v>3269856</v>
      </c>
      <c r="J107" s="10">
        <v>46736</v>
      </c>
      <c r="K107" s="48">
        <v>3282</v>
      </c>
      <c r="L107" s="48">
        <v>0</v>
      </c>
      <c r="M107" s="48">
        <v>0</v>
      </c>
      <c r="N107" s="48">
        <v>1780031</v>
      </c>
      <c r="O107" s="48">
        <v>0</v>
      </c>
      <c r="P107" s="48">
        <v>0</v>
      </c>
      <c r="Q107" s="48">
        <v>196197</v>
      </c>
      <c r="R107" s="10">
        <v>793331</v>
      </c>
      <c r="S107" s="10">
        <v>204443</v>
      </c>
      <c r="T107" s="10">
        <v>0</v>
      </c>
      <c r="U107" s="10">
        <v>0</v>
      </c>
      <c r="V107" s="10">
        <v>3272817</v>
      </c>
      <c r="W107" s="12">
        <v>0.11</v>
      </c>
      <c r="X107" s="10">
        <v>0</v>
      </c>
      <c r="Y107" s="22">
        <f>294535/3272614</f>
        <v>8.9999920552805798E-2</v>
      </c>
      <c r="Z107" s="10">
        <v>294534</v>
      </c>
      <c r="AA107" s="10">
        <v>0</v>
      </c>
      <c r="AB107" s="10">
        <f>7987+61</f>
        <v>8048</v>
      </c>
      <c r="AC107" s="10">
        <v>77522</v>
      </c>
      <c r="AD107" s="10">
        <v>6324</v>
      </c>
      <c r="AE107" s="10">
        <v>7722</v>
      </c>
      <c r="AF107" s="10">
        <f>7104+807</f>
        <v>7911</v>
      </c>
      <c r="AG107" s="10">
        <v>1800</v>
      </c>
      <c r="AH107" s="10">
        <v>0</v>
      </c>
      <c r="AI107" s="10">
        <v>411</v>
      </c>
      <c r="AJ107" s="10">
        <v>0</v>
      </c>
      <c r="AK107" s="10">
        <f>2451+5946+3217</f>
        <v>11614</v>
      </c>
      <c r="AL107" s="10">
        <v>2946</v>
      </c>
      <c r="AM107" s="10">
        <v>649</v>
      </c>
      <c r="AN107" s="10">
        <v>23444</v>
      </c>
      <c r="AO107" s="10">
        <v>40429</v>
      </c>
      <c r="AP107" s="10">
        <v>154356</v>
      </c>
      <c r="AQ107" s="10">
        <v>159265</v>
      </c>
      <c r="AR107" s="12">
        <f t="shared" si="11"/>
        <v>0.26192049547798596</v>
      </c>
      <c r="AS107" s="10">
        <v>0</v>
      </c>
      <c r="AT107" s="10">
        <v>0</v>
      </c>
      <c r="AU107" s="10">
        <v>139662</v>
      </c>
      <c r="AV107" s="10">
        <v>0</v>
      </c>
      <c r="AW107" s="10">
        <v>18956</v>
      </c>
      <c r="AX107" s="10">
        <v>0</v>
      </c>
      <c r="AY107" s="10">
        <v>0</v>
      </c>
      <c r="AZ107" s="10">
        <v>0</v>
      </c>
      <c r="BA107" s="10">
        <v>680</v>
      </c>
      <c r="BB107" s="10">
        <v>262</v>
      </c>
      <c r="BC107" s="10">
        <v>0</v>
      </c>
      <c r="BD107" s="10">
        <f>2-1</f>
        <v>1</v>
      </c>
      <c r="BE107" s="10">
        <v>-49</v>
      </c>
      <c r="BF107" s="10">
        <v>-58</v>
      </c>
      <c r="BG107" s="10">
        <v>-154</v>
      </c>
      <c r="BH107" s="10">
        <v>-2</v>
      </c>
      <c r="BI107" s="10">
        <f t="shared" si="10"/>
        <v>680</v>
      </c>
      <c r="BJ107" s="1">
        <v>0</v>
      </c>
      <c r="BK107" s="1">
        <v>48</v>
      </c>
      <c r="BL107" s="1">
        <v>4</v>
      </c>
      <c r="BM107" s="1">
        <v>76</v>
      </c>
      <c r="BN107" s="1">
        <v>20</v>
      </c>
      <c r="BO107" s="1">
        <v>6</v>
      </c>
      <c r="BP107" s="1" t="s">
        <v>453</v>
      </c>
      <c r="BQ107" s="1" t="s">
        <v>453</v>
      </c>
      <c r="BR107" s="1" t="s">
        <v>453</v>
      </c>
      <c r="BS107" s="1" t="s">
        <v>453</v>
      </c>
      <c r="BT107" s="1" t="s">
        <v>453</v>
      </c>
      <c r="BU107" s="1" t="s">
        <v>453</v>
      </c>
      <c r="BV107" s="1" t="s">
        <v>453</v>
      </c>
      <c r="BW107" s="1" t="s">
        <v>453</v>
      </c>
      <c r="BX107" s="1" t="s">
        <v>453</v>
      </c>
      <c r="BY107" s="1" t="s">
        <v>453</v>
      </c>
    </row>
    <row r="108" spans="1:77">
      <c r="A108" s="1">
        <v>10</v>
      </c>
      <c r="B108" s="1" t="s">
        <v>95</v>
      </c>
      <c r="C108" s="7" t="s">
        <v>565</v>
      </c>
      <c r="D108" s="1" t="s">
        <v>314</v>
      </c>
      <c r="E108" s="1" t="s">
        <v>311</v>
      </c>
      <c r="F108" s="7" t="s">
        <v>617</v>
      </c>
      <c r="G108" s="7" t="s">
        <v>313</v>
      </c>
      <c r="H108" s="10">
        <v>26705880</v>
      </c>
      <c r="I108" s="10">
        <v>26861797</v>
      </c>
      <c r="J108" s="10">
        <v>1506067</v>
      </c>
      <c r="K108" s="48">
        <v>0</v>
      </c>
      <c r="L108" s="48">
        <v>2470427</v>
      </c>
      <c r="M108" s="48">
        <v>8157593</v>
      </c>
      <c r="N108" s="48">
        <v>0</v>
      </c>
      <c r="O108" s="48">
        <v>0</v>
      </c>
      <c r="P108" s="48">
        <v>2121332</v>
      </c>
      <c r="Q108" s="48">
        <v>0</v>
      </c>
      <c r="R108" s="10">
        <v>8612501</v>
      </c>
      <c r="S108" s="10">
        <v>2512890</v>
      </c>
      <c r="T108" s="10">
        <v>0</v>
      </c>
      <c r="U108" s="10">
        <v>150019</v>
      </c>
      <c r="V108" s="10">
        <v>25308545</v>
      </c>
      <c r="W108" s="12">
        <v>0.19</v>
      </c>
      <c r="X108" s="10">
        <v>0</v>
      </c>
      <c r="Y108" s="22">
        <f>1285795/25158526</f>
        <v>5.110772387857699E-2</v>
      </c>
      <c r="Z108" s="10">
        <v>1283704</v>
      </c>
      <c r="AA108" s="10">
        <v>0</v>
      </c>
      <c r="AB108" s="10">
        <f>141978+10971+3634</f>
        <v>156583</v>
      </c>
      <c r="AC108" s="10">
        <v>667219</v>
      </c>
      <c r="AD108" s="10">
        <v>55042</v>
      </c>
      <c r="AE108" s="10">
        <v>104808</v>
      </c>
      <c r="AF108" s="10">
        <v>142709</v>
      </c>
      <c r="AG108" s="10">
        <v>25790</v>
      </c>
      <c r="AH108" s="10">
        <v>39840</v>
      </c>
      <c r="AI108" s="10">
        <v>3577</v>
      </c>
      <c r="AJ108" s="10">
        <v>158676</v>
      </c>
      <c r="AK108" s="10">
        <f>10382+26200+34993</f>
        <v>71575</v>
      </c>
      <c r="AL108" s="10">
        <v>3724</v>
      </c>
      <c r="AM108" s="10">
        <v>24128</v>
      </c>
      <c r="AN108" s="10">
        <v>41227</v>
      </c>
      <c r="AO108" s="10">
        <v>112176</v>
      </c>
      <c r="AP108" s="10">
        <v>1387435</v>
      </c>
      <c r="AQ108" s="10">
        <v>1412197</v>
      </c>
      <c r="AR108" s="12">
        <f t="shared" si="11"/>
        <v>8.0851355198621924E-2</v>
      </c>
      <c r="AS108" s="10">
        <v>0</v>
      </c>
      <c r="AT108" s="10">
        <v>0</v>
      </c>
      <c r="AU108" s="10">
        <v>139662</v>
      </c>
      <c r="AV108" s="10">
        <v>0</v>
      </c>
      <c r="AW108" s="10">
        <v>231694</v>
      </c>
      <c r="AX108" s="10">
        <v>0</v>
      </c>
      <c r="AY108" s="10">
        <v>0</v>
      </c>
      <c r="AZ108" s="10">
        <v>0</v>
      </c>
      <c r="BA108" s="10">
        <v>6096</v>
      </c>
      <c r="BB108" s="10">
        <v>3224</v>
      </c>
      <c r="BC108" s="10">
        <v>0</v>
      </c>
      <c r="BD108" s="10">
        <v>48</v>
      </c>
      <c r="BE108" s="10">
        <v>-604</v>
      </c>
      <c r="BF108" s="10">
        <v>-1241</v>
      </c>
      <c r="BG108" s="10">
        <v>-508</v>
      </c>
      <c r="BH108" s="10">
        <v>0</v>
      </c>
      <c r="BI108" s="10">
        <f t="shared" ref="BI108:BI139" si="12">SUM(BA108:BH108)</f>
        <v>7015</v>
      </c>
      <c r="BJ108" s="1">
        <v>0</v>
      </c>
      <c r="BK108" s="1">
        <v>172</v>
      </c>
      <c r="BL108" s="1">
        <v>53</v>
      </c>
      <c r="BM108" s="1">
        <v>247</v>
      </c>
      <c r="BN108" s="1">
        <v>1</v>
      </c>
      <c r="BO108" s="1">
        <v>20</v>
      </c>
      <c r="BP108" s="1" t="s">
        <v>453</v>
      </c>
      <c r="BQ108" s="1" t="s">
        <v>453</v>
      </c>
      <c r="BR108" s="1" t="s">
        <v>453</v>
      </c>
      <c r="BS108" s="1" t="s">
        <v>453</v>
      </c>
      <c r="BT108" s="1" t="s">
        <v>453</v>
      </c>
      <c r="BU108" s="1" t="s">
        <v>453</v>
      </c>
      <c r="BV108" s="1" t="s">
        <v>453</v>
      </c>
      <c r="BW108" s="1" t="s">
        <v>453</v>
      </c>
      <c r="BX108" s="1" t="s">
        <v>453</v>
      </c>
      <c r="BY108" s="1" t="s">
        <v>453</v>
      </c>
    </row>
    <row r="109" spans="1:77">
      <c r="A109" s="1">
        <v>10</v>
      </c>
      <c r="B109" s="1" t="s">
        <v>120</v>
      </c>
      <c r="C109" s="7" t="s">
        <v>507</v>
      </c>
      <c r="D109" s="1" t="s">
        <v>418</v>
      </c>
      <c r="E109" s="1" t="s">
        <v>311</v>
      </c>
      <c r="F109" s="7" t="s">
        <v>478</v>
      </c>
      <c r="G109" s="7" t="s">
        <v>313</v>
      </c>
      <c r="H109" s="10">
        <v>15668898</v>
      </c>
      <c r="I109" s="10">
        <v>15750996</v>
      </c>
      <c r="J109" s="10">
        <v>673650</v>
      </c>
      <c r="K109" s="48">
        <v>5254032</v>
      </c>
      <c r="L109" s="48">
        <v>0</v>
      </c>
      <c r="M109" s="48">
        <v>0</v>
      </c>
      <c r="N109" s="48">
        <v>4994333</v>
      </c>
      <c r="O109" s="48">
        <v>0</v>
      </c>
      <c r="P109" s="48">
        <v>45737</v>
      </c>
      <c r="Q109" s="48">
        <v>746463</v>
      </c>
      <c r="R109" s="10">
        <v>2383337</v>
      </c>
      <c r="S109" s="10">
        <v>938240</v>
      </c>
      <c r="T109" s="10">
        <v>29287</v>
      </c>
      <c r="U109" s="10">
        <v>0</v>
      </c>
      <c r="V109" s="10">
        <v>15188756</v>
      </c>
      <c r="W109" s="12">
        <v>0.13</v>
      </c>
      <c r="X109" s="10">
        <v>5254032</v>
      </c>
      <c r="Y109" s="22">
        <f>797370/9967125</f>
        <v>0.08</v>
      </c>
      <c r="Z109" s="10">
        <v>797327</v>
      </c>
      <c r="AA109" s="10">
        <v>0</v>
      </c>
      <c r="AB109" s="10">
        <f>76943+6342+1176</f>
        <v>84461</v>
      </c>
      <c r="AC109" s="10">
        <v>296101</v>
      </c>
      <c r="AD109" s="10">
        <v>23515</v>
      </c>
      <c r="AE109" s="10">
        <v>28891</v>
      </c>
      <c r="AF109" s="10">
        <f>85450+7228</f>
        <v>92678</v>
      </c>
      <c r="AG109" s="10">
        <v>0</v>
      </c>
      <c r="AH109" s="10">
        <v>47412</v>
      </c>
      <c r="AI109" s="10">
        <v>9275</v>
      </c>
      <c r="AJ109" s="10">
        <v>69771</v>
      </c>
      <c r="AK109" s="10">
        <f>8128+13151+36607</f>
        <v>57886</v>
      </c>
      <c r="AL109" s="10">
        <v>6948</v>
      </c>
      <c r="AM109" s="10">
        <v>1236</v>
      </c>
      <c r="AN109" s="10">
        <v>69880</v>
      </c>
      <c r="AO109" s="10">
        <v>34141</v>
      </c>
      <c r="AP109" s="10">
        <v>759602</v>
      </c>
      <c r="AQ109" s="10">
        <v>754269</v>
      </c>
      <c r="AR109" s="12">
        <f t="shared" si="11"/>
        <v>4.4945905882290992E-2</v>
      </c>
      <c r="AS109" s="10">
        <v>480</v>
      </c>
      <c r="AT109" s="10">
        <v>0</v>
      </c>
      <c r="AU109" s="10">
        <v>139662</v>
      </c>
      <c r="AV109" s="10">
        <v>0</v>
      </c>
      <c r="AW109" s="10">
        <v>54841</v>
      </c>
      <c r="AX109" s="10">
        <v>0</v>
      </c>
      <c r="AY109" s="10">
        <v>0</v>
      </c>
      <c r="AZ109" s="10">
        <v>0</v>
      </c>
      <c r="BA109" s="10">
        <v>2175</v>
      </c>
      <c r="BB109" s="10">
        <v>1222</v>
      </c>
      <c r="BC109" s="10">
        <v>368</v>
      </c>
      <c r="BD109" s="10">
        <f>28-4</f>
        <v>24</v>
      </c>
      <c r="BE109" s="10">
        <v>-122</v>
      </c>
      <c r="BF109" s="10">
        <v>-553</v>
      </c>
      <c r="BG109" s="10">
        <v>-394</v>
      </c>
      <c r="BH109" s="10">
        <v>-15</v>
      </c>
      <c r="BI109" s="10">
        <f t="shared" si="12"/>
        <v>2705</v>
      </c>
      <c r="BJ109" s="1">
        <v>14</v>
      </c>
      <c r="BK109" s="1">
        <v>68</v>
      </c>
      <c r="BL109" s="1">
        <v>27</v>
      </c>
      <c r="BM109" s="1">
        <v>114</v>
      </c>
      <c r="BN109" s="1">
        <v>53</v>
      </c>
      <c r="BO109" s="1">
        <v>3</v>
      </c>
      <c r="BP109" s="1" t="s">
        <v>453</v>
      </c>
      <c r="BQ109" s="1" t="s">
        <v>453</v>
      </c>
      <c r="BR109" s="1" t="s">
        <v>453</v>
      </c>
      <c r="BS109" s="1" t="s">
        <v>453</v>
      </c>
      <c r="BT109" s="1" t="s">
        <v>453</v>
      </c>
      <c r="BU109" s="1" t="s">
        <v>453</v>
      </c>
      <c r="BV109" s="1" t="s">
        <v>453</v>
      </c>
      <c r="BW109" s="1" t="s">
        <v>453</v>
      </c>
      <c r="BX109" s="1" t="s">
        <v>453</v>
      </c>
      <c r="BY109" s="1" t="s">
        <v>453</v>
      </c>
    </row>
    <row r="110" spans="1:77">
      <c r="A110" s="1">
        <v>10</v>
      </c>
      <c r="B110" s="1" t="s">
        <v>136</v>
      </c>
      <c r="C110" s="7" t="s">
        <v>424</v>
      </c>
      <c r="D110" s="1" t="s">
        <v>517</v>
      </c>
      <c r="E110" s="1" t="s">
        <v>309</v>
      </c>
      <c r="F110" s="7" t="s">
        <v>119</v>
      </c>
      <c r="G110" s="7" t="s">
        <v>310</v>
      </c>
      <c r="H110" s="10">
        <v>6270988</v>
      </c>
      <c r="I110" s="10">
        <v>6283988</v>
      </c>
      <c r="J110" s="10">
        <v>50918</v>
      </c>
      <c r="K110" s="48">
        <v>3712</v>
      </c>
      <c r="L110" s="48">
        <v>0</v>
      </c>
      <c r="M110" s="48">
        <v>380807</v>
      </c>
      <c r="N110" s="48">
        <v>2371342</v>
      </c>
      <c r="O110" s="48">
        <v>584</v>
      </c>
      <c r="P110" s="48">
        <v>63902</v>
      </c>
      <c r="Q110" s="48">
        <v>289783</v>
      </c>
      <c r="R110" s="10">
        <v>1962254</v>
      </c>
      <c r="S110" s="10">
        <v>687051</v>
      </c>
      <c r="T110" s="10">
        <v>0</v>
      </c>
      <c r="U110" s="10">
        <v>0</v>
      </c>
      <c r="V110" s="10">
        <v>6199952</v>
      </c>
      <c r="W110" s="12">
        <v>0.02</v>
      </c>
      <c r="X110" s="10">
        <v>0</v>
      </c>
      <c r="Y110" s="22">
        <f>423403/6199952</f>
        <v>6.8291335158723807E-2</v>
      </c>
      <c r="Z110" s="10">
        <v>418616</v>
      </c>
      <c r="AA110" s="10">
        <v>0</v>
      </c>
      <c r="AB110" s="10">
        <f>13000+655</f>
        <v>13655</v>
      </c>
      <c r="AC110" s="10">
        <v>119107</v>
      </c>
      <c r="AD110" s="10">
        <v>10493</v>
      </c>
      <c r="AE110" s="10">
        <v>26451</v>
      </c>
      <c r="AF110" s="10">
        <f>28864+2223</f>
        <v>31087</v>
      </c>
      <c r="AG110" s="10">
        <v>8186</v>
      </c>
      <c r="AH110" s="10">
        <v>66948</v>
      </c>
      <c r="AI110" s="10">
        <v>0</v>
      </c>
      <c r="AJ110" s="10">
        <v>0</v>
      </c>
      <c r="AK110" s="10">
        <f>3821+4544+3796</f>
        <v>12161</v>
      </c>
      <c r="AL110" s="10">
        <v>250</v>
      </c>
      <c r="AM110" s="10">
        <v>495</v>
      </c>
      <c r="AN110" s="10">
        <v>3954</v>
      </c>
      <c r="AO110" s="10">
        <v>0</v>
      </c>
      <c r="AP110" s="10">
        <v>300249</v>
      </c>
      <c r="AQ110" s="10">
        <v>314886</v>
      </c>
      <c r="AR110" s="12">
        <f t="shared" si="11"/>
        <v>0</v>
      </c>
      <c r="AS110" s="10">
        <v>0</v>
      </c>
      <c r="AT110" s="10">
        <v>0</v>
      </c>
      <c r="AU110" s="10">
        <v>139661</v>
      </c>
      <c r="AV110" s="10">
        <v>0</v>
      </c>
      <c r="AW110" s="10">
        <v>37134</v>
      </c>
      <c r="AX110" s="10">
        <v>0</v>
      </c>
      <c r="AY110" s="10">
        <v>0</v>
      </c>
      <c r="AZ110" s="10">
        <v>0</v>
      </c>
      <c r="BA110" s="10">
        <v>1967</v>
      </c>
      <c r="BB110" s="10">
        <v>843</v>
      </c>
      <c r="BC110" s="10">
        <v>48</v>
      </c>
      <c r="BD110" s="10">
        <v>0</v>
      </c>
      <c r="BE110" s="10">
        <v>-143</v>
      </c>
      <c r="BF110" s="10">
        <v>-185</v>
      </c>
      <c r="BG110" s="10">
        <v>-505</v>
      </c>
      <c r="BH110" s="10">
        <v>-5</v>
      </c>
      <c r="BI110" s="10">
        <f t="shared" si="12"/>
        <v>2020</v>
      </c>
      <c r="BJ110" s="1">
        <v>0</v>
      </c>
      <c r="BK110" s="1">
        <v>71</v>
      </c>
      <c r="BL110" s="1">
        <v>38</v>
      </c>
      <c r="BM110" s="1">
        <v>488</v>
      </c>
      <c r="BN110" s="1">
        <v>7</v>
      </c>
      <c r="BO110" s="1">
        <v>1</v>
      </c>
      <c r="BP110" s="1" t="s">
        <v>453</v>
      </c>
      <c r="BQ110" s="1" t="s">
        <v>453</v>
      </c>
      <c r="BR110" s="1" t="s">
        <v>453</v>
      </c>
      <c r="BS110" s="1" t="s">
        <v>453</v>
      </c>
      <c r="BT110" s="1" t="s">
        <v>453</v>
      </c>
      <c r="BU110" s="1" t="s">
        <v>453</v>
      </c>
      <c r="BV110" s="1" t="s">
        <v>453</v>
      </c>
      <c r="BW110" s="1" t="s">
        <v>453</v>
      </c>
      <c r="BX110" s="1" t="s">
        <v>453</v>
      </c>
      <c r="BY110" s="1" t="s">
        <v>453</v>
      </c>
    </row>
    <row r="111" spans="1:77">
      <c r="A111" s="1">
        <v>10</v>
      </c>
      <c r="B111" s="1" t="s">
        <v>176</v>
      </c>
      <c r="C111" s="7" t="s">
        <v>198</v>
      </c>
      <c r="D111" s="1" t="s">
        <v>644</v>
      </c>
      <c r="E111" s="1" t="s">
        <v>311</v>
      </c>
      <c r="F111" s="7" t="s">
        <v>617</v>
      </c>
      <c r="G111" s="7" t="s">
        <v>313</v>
      </c>
      <c r="H111" s="10">
        <v>5213572</v>
      </c>
      <c r="I111" s="10">
        <v>5222982</v>
      </c>
      <c r="J111" s="10">
        <v>42899</v>
      </c>
      <c r="K111" s="48">
        <v>455008</v>
      </c>
      <c r="L111" s="48">
        <v>275654</v>
      </c>
      <c r="M111" s="48">
        <v>2006834</v>
      </c>
      <c r="N111" s="48">
        <v>0</v>
      </c>
      <c r="O111" s="48">
        <v>0</v>
      </c>
      <c r="P111" s="48">
        <v>231444</v>
      </c>
      <c r="Q111" s="48">
        <v>0</v>
      </c>
      <c r="R111" s="10">
        <v>1195091</v>
      </c>
      <c r="S111" s="10">
        <v>530887</v>
      </c>
      <c r="T111" s="10">
        <v>0</v>
      </c>
      <c r="U111" s="10">
        <v>12010</v>
      </c>
      <c r="V111" s="10">
        <v>5077945</v>
      </c>
      <c r="W111" s="12">
        <v>0.09</v>
      </c>
      <c r="X111" s="10">
        <v>455008</v>
      </c>
      <c r="Y111" s="22">
        <f>368878/4610107</f>
        <v>8.0015062557116351E-2</v>
      </c>
      <c r="Z111" s="10">
        <v>370197</v>
      </c>
      <c r="AA111" s="10">
        <v>0</v>
      </c>
      <c r="AB111" s="10">
        <f>8676+678+431</f>
        <v>9785</v>
      </c>
      <c r="AC111" s="10">
        <v>87395</v>
      </c>
      <c r="AD111" s="10">
        <v>7217</v>
      </c>
      <c r="AE111" s="10">
        <v>12220</v>
      </c>
      <c r="AF111" s="10">
        <v>25795</v>
      </c>
      <c r="AG111" s="10">
        <v>14400</v>
      </c>
      <c r="AH111" s="10">
        <v>23515</v>
      </c>
      <c r="AI111" s="10">
        <v>175</v>
      </c>
      <c r="AJ111" s="10">
        <v>0</v>
      </c>
      <c r="AK111" s="10">
        <f>6529+18294+12041</f>
        <v>36864</v>
      </c>
      <c r="AL111" s="10">
        <v>6887</v>
      </c>
      <c r="AM111" s="10">
        <v>687</v>
      </c>
      <c r="AN111" s="10">
        <v>13121</v>
      </c>
      <c r="AO111" s="10">
        <v>0</v>
      </c>
      <c r="AP111" s="10">
        <v>252102</v>
      </c>
      <c r="AQ111" s="10">
        <v>257000</v>
      </c>
      <c r="AR111" s="12">
        <f t="shared" si="11"/>
        <v>0</v>
      </c>
      <c r="AS111" s="10">
        <v>0</v>
      </c>
      <c r="AT111" s="10">
        <v>0</v>
      </c>
      <c r="AU111" s="10">
        <v>139662</v>
      </c>
      <c r="AV111" s="10">
        <v>0</v>
      </c>
      <c r="AW111" s="10">
        <v>25775</v>
      </c>
      <c r="AX111" s="10">
        <v>0</v>
      </c>
      <c r="AY111" s="10">
        <v>0</v>
      </c>
      <c r="AZ111" s="10">
        <v>0</v>
      </c>
      <c r="BA111" s="10">
        <v>1247</v>
      </c>
      <c r="BB111" s="10">
        <v>454</v>
      </c>
      <c r="BC111" s="10">
        <v>0</v>
      </c>
      <c r="BD111" s="10">
        <f>1+7-1</f>
        <v>7</v>
      </c>
      <c r="BE111" s="10">
        <v>-101</v>
      </c>
      <c r="BF111" s="10">
        <v>-132</v>
      </c>
      <c r="BG111" s="10">
        <v>-127</v>
      </c>
      <c r="BH111" s="10">
        <v>-2</v>
      </c>
      <c r="BI111" s="10">
        <f t="shared" si="12"/>
        <v>1346</v>
      </c>
      <c r="BJ111" s="1">
        <v>18</v>
      </c>
      <c r="BK111" s="1">
        <v>23</v>
      </c>
      <c r="BL111" s="1">
        <v>18</v>
      </c>
      <c r="BM111" s="1">
        <v>83</v>
      </c>
      <c r="BN111" s="1">
        <v>2</v>
      </c>
      <c r="BO111" s="1">
        <v>3</v>
      </c>
      <c r="BP111" s="1" t="s">
        <v>453</v>
      </c>
      <c r="BQ111" s="1" t="s">
        <v>453</v>
      </c>
      <c r="BR111" s="1" t="s">
        <v>453</v>
      </c>
      <c r="BS111" s="1" t="s">
        <v>453</v>
      </c>
      <c r="BT111" s="1" t="s">
        <v>453</v>
      </c>
      <c r="BU111" s="1" t="s">
        <v>453</v>
      </c>
      <c r="BV111" s="1" t="s">
        <v>453</v>
      </c>
      <c r="BW111" s="1" t="s">
        <v>453</v>
      </c>
      <c r="BX111" s="1" t="s">
        <v>453</v>
      </c>
      <c r="BY111" s="1" t="s">
        <v>453</v>
      </c>
    </row>
    <row r="112" spans="1:77">
      <c r="A112" s="1">
        <v>10</v>
      </c>
      <c r="B112" s="1" t="s">
        <v>256</v>
      </c>
      <c r="C112" s="7" t="s">
        <v>324</v>
      </c>
      <c r="D112" s="1" t="s">
        <v>505</v>
      </c>
      <c r="E112" s="1" t="s">
        <v>309</v>
      </c>
      <c r="F112" s="7" t="s">
        <v>119</v>
      </c>
      <c r="G112" s="7" t="s">
        <v>310</v>
      </c>
      <c r="H112" s="10">
        <v>2415803</v>
      </c>
      <c r="I112" s="10">
        <v>2422576</v>
      </c>
      <c r="J112" s="10">
        <v>23312</v>
      </c>
      <c r="K112" s="48">
        <v>0</v>
      </c>
      <c r="L112" s="48">
        <v>0</v>
      </c>
      <c r="M112" s="48">
        <v>0</v>
      </c>
      <c r="N112" s="48">
        <v>758020</v>
      </c>
      <c r="O112" s="48">
        <v>0</v>
      </c>
      <c r="P112" s="48">
        <v>0</v>
      </c>
      <c r="Q112" s="48">
        <v>296238</v>
      </c>
      <c r="R112" s="10">
        <v>969054</v>
      </c>
      <c r="S112" s="10">
        <v>135221</v>
      </c>
      <c r="T112" s="10">
        <v>0</v>
      </c>
      <c r="U112" s="10">
        <v>0</v>
      </c>
      <c r="V112" s="10">
        <v>2401699</v>
      </c>
      <c r="W112" s="12">
        <v>0.03</v>
      </c>
      <c r="X112" s="10">
        <v>0</v>
      </c>
      <c r="Y112" s="22">
        <f>240170/2401699</f>
        <v>0.10000004163719101</v>
      </c>
      <c r="Z112" s="10">
        <v>241610</v>
      </c>
      <c r="AA112" s="10">
        <v>0</v>
      </c>
      <c r="AB112" s="10">
        <f>6376+467</f>
        <v>6843</v>
      </c>
      <c r="AC112" s="10">
        <v>57761</v>
      </c>
      <c r="AD112" s="10">
        <v>3911</v>
      </c>
      <c r="AE112" s="10">
        <v>387</v>
      </c>
      <c r="AF112" s="10">
        <f>4250+3422</f>
        <v>7672</v>
      </c>
      <c r="AG112" s="10">
        <v>1980</v>
      </c>
      <c r="AH112" s="10">
        <v>6072</v>
      </c>
      <c r="AI112" s="10">
        <v>0</v>
      </c>
      <c r="AJ112" s="10">
        <v>0</v>
      </c>
      <c r="AK112" s="10">
        <f>2187+4195+5388</f>
        <v>11770</v>
      </c>
      <c r="AL112" s="10">
        <v>4046</v>
      </c>
      <c r="AM112" s="10">
        <v>0</v>
      </c>
      <c r="AN112" s="10">
        <v>17733</v>
      </c>
      <c r="AO112" s="10">
        <v>23108</v>
      </c>
      <c r="AP112" s="10">
        <v>121992</v>
      </c>
      <c r="AQ112" s="10">
        <v>126950</v>
      </c>
      <c r="AR112" s="12">
        <f t="shared" si="11"/>
        <v>0.18942225719719327</v>
      </c>
      <c r="AS112" s="10">
        <v>463</v>
      </c>
      <c r="AT112" s="10">
        <v>0</v>
      </c>
      <c r="AU112" s="10">
        <v>120125</v>
      </c>
      <c r="AV112" s="10">
        <v>500</v>
      </c>
      <c r="AW112" s="10">
        <v>19554</v>
      </c>
      <c r="AX112" s="10">
        <v>0</v>
      </c>
      <c r="AY112" s="10">
        <v>0</v>
      </c>
      <c r="AZ112" s="10">
        <v>0</v>
      </c>
      <c r="BA112" s="10">
        <v>606</v>
      </c>
      <c r="BB112" s="10">
        <v>372</v>
      </c>
      <c r="BC112" s="10">
        <v>2</v>
      </c>
      <c r="BD112" s="10">
        <f>1+10</f>
        <v>11</v>
      </c>
      <c r="BE112" s="10">
        <v>-38</v>
      </c>
      <c r="BF112" s="10">
        <v>-99</v>
      </c>
      <c r="BG112" s="10">
        <v>-89</v>
      </c>
      <c r="BH112" s="10">
        <v>-2</v>
      </c>
      <c r="BI112" s="10">
        <f t="shared" si="12"/>
        <v>763</v>
      </c>
      <c r="BJ112" s="1">
        <v>0</v>
      </c>
      <c r="BK112" s="1">
        <v>16</v>
      </c>
      <c r="BL112" s="1">
        <v>8</v>
      </c>
      <c r="BM112" s="1">
        <v>86</v>
      </c>
      <c r="BN112" s="1">
        <v>0</v>
      </c>
      <c r="BO112" s="1">
        <v>5</v>
      </c>
      <c r="BP112" s="1">
        <v>3</v>
      </c>
      <c r="BQ112" s="1">
        <v>4</v>
      </c>
      <c r="BR112" s="1">
        <v>26</v>
      </c>
      <c r="BS112" s="1">
        <v>0</v>
      </c>
      <c r="BT112" s="1">
        <v>2</v>
      </c>
      <c r="BU112" s="1">
        <v>12</v>
      </c>
      <c r="BV112" s="1">
        <v>4</v>
      </c>
      <c r="BW112" s="1">
        <v>84</v>
      </c>
      <c r="BX112" s="1">
        <v>0</v>
      </c>
      <c r="BY112" s="1">
        <v>4</v>
      </c>
    </row>
    <row r="113" spans="1:77">
      <c r="A113" s="1">
        <v>10</v>
      </c>
      <c r="B113" s="1" t="s">
        <v>261</v>
      </c>
      <c r="C113" s="7" t="s">
        <v>333</v>
      </c>
      <c r="D113" s="1" t="s">
        <v>519</v>
      </c>
      <c r="E113" s="1" t="s">
        <v>309</v>
      </c>
      <c r="F113" s="7" t="s">
        <v>119</v>
      </c>
      <c r="G113" s="7" t="s">
        <v>310</v>
      </c>
      <c r="H113" s="10">
        <v>4080277</v>
      </c>
      <c r="I113" s="10">
        <v>4085628</v>
      </c>
      <c r="J113" s="10">
        <v>106591</v>
      </c>
      <c r="K113" s="48">
        <v>30709</v>
      </c>
      <c r="L113" s="48">
        <v>6119</v>
      </c>
      <c r="M113" s="48">
        <v>2017</v>
      </c>
      <c r="N113" s="48">
        <v>1071701</v>
      </c>
      <c r="O113" s="48">
        <v>0</v>
      </c>
      <c r="P113" s="48">
        <v>0</v>
      </c>
      <c r="Q113" s="48">
        <v>519113</v>
      </c>
      <c r="R113" s="10">
        <v>1728931</v>
      </c>
      <c r="S113" s="10">
        <v>110908</v>
      </c>
      <c r="T113" s="10">
        <v>0</v>
      </c>
      <c r="U113" s="10">
        <v>0</v>
      </c>
      <c r="V113" s="10">
        <v>3761955</v>
      </c>
      <c r="W113" s="12">
        <v>8.6900000000000005E-2</v>
      </c>
      <c r="X113" s="10">
        <v>0</v>
      </c>
      <c r="Y113" s="22">
        <f>286478/3754300</f>
        <v>7.6306635058466299E-2</v>
      </c>
      <c r="Z113" s="10">
        <v>286523</v>
      </c>
      <c r="AA113" s="10">
        <v>0</v>
      </c>
      <c r="AB113" s="10">
        <f>5351+526</f>
        <v>5877</v>
      </c>
      <c r="AC113" s="10">
        <v>63725</v>
      </c>
      <c r="AD113" s="10">
        <v>5043</v>
      </c>
      <c r="AE113" s="10">
        <v>9243</v>
      </c>
      <c r="AF113" s="10">
        <f>12000+4260</f>
        <v>16260</v>
      </c>
      <c r="AG113" s="10">
        <v>0</v>
      </c>
      <c r="AH113" s="10">
        <v>13782</v>
      </c>
      <c r="AI113" s="10">
        <v>370</v>
      </c>
      <c r="AJ113" s="10">
        <v>0</v>
      </c>
      <c r="AK113" s="10">
        <f>3754+9228+4919</f>
        <v>17901</v>
      </c>
      <c r="AL113" s="10">
        <v>2502</v>
      </c>
      <c r="AM113" s="10">
        <v>0</v>
      </c>
      <c r="AN113" s="10">
        <v>11421</v>
      </c>
      <c r="AO113" s="10">
        <v>49520</v>
      </c>
      <c r="AP113" s="10">
        <v>157820</v>
      </c>
      <c r="AQ113" s="10">
        <v>161472</v>
      </c>
      <c r="AR113" s="12">
        <f t="shared" si="11"/>
        <v>0.31377518692180967</v>
      </c>
      <c r="AS113" s="10">
        <v>0</v>
      </c>
      <c r="AT113" s="10">
        <v>0</v>
      </c>
      <c r="AU113" s="10">
        <v>139662</v>
      </c>
      <c r="AV113" s="10">
        <v>0</v>
      </c>
      <c r="AW113" s="10">
        <v>24303</v>
      </c>
      <c r="AX113" s="10">
        <v>0</v>
      </c>
      <c r="AY113" s="10">
        <v>0</v>
      </c>
      <c r="AZ113" s="10">
        <v>0</v>
      </c>
      <c r="BA113" s="10">
        <v>554</v>
      </c>
      <c r="BB113" s="10">
        <v>266</v>
      </c>
      <c r="BC113" s="10">
        <v>0</v>
      </c>
      <c r="BD113" s="10">
        <f>1+14-1</f>
        <v>14</v>
      </c>
      <c r="BE113" s="10">
        <v>-38</v>
      </c>
      <c r="BF113" s="10">
        <v>-71</v>
      </c>
      <c r="BG113" s="10">
        <v>-121</v>
      </c>
      <c r="BH113" s="10">
        <v>0</v>
      </c>
      <c r="BI113" s="10">
        <f t="shared" si="12"/>
        <v>604</v>
      </c>
      <c r="BJ113" s="1">
        <v>0</v>
      </c>
      <c r="BK113" s="1">
        <v>66</v>
      </c>
      <c r="BL113" s="1">
        <v>20</v>
      </c>
      <c r="BM113" s="1">
        <v>30</v>
      </c>
      <c r="BN113" s="1">
        <v>0</v>
      </c>
      <c r="BO113" s="1">
        <v>5</v>
      </c>
      <c r="BP113" s="1" t="s">
        <v>453</v>
      </c>
      <c r="BQ113" s="1" t="s">
        <v>453</v>
      </c>
      <c r="BR113" s="1" t="s">
        <v>453</v>
      </c>
      <c r="BS113" s="1" t="s">
        <v>453</v>
      </c>
      <c r="BT113" s="1" t="s">
        <v>453</v>
      </c>
      <c r="BU113" s="1" t="s">
        <v>453</v>
      </c>
      <c r="BV113" s="1" t="s">
        <v>453</v>
      </c>
      <c r="BW113" s="1" t="s">
        <v>453</v>
      </c>
      <c r="BX113" s="1" t="s">
        <v>453</v>
      </c>
      <c r="BY113" s="1" t="s">
        <v>453</v>
      </c>
    </row>
    <row r="114" spans="1:77">
      <c r="A114" s="1">
        <v>10</v>
      </c>
      <c r="B114" s="1" t="s">
        <v>347</v>
      </c>
      <c r="C114" s="7" t="s">
        <v>565</v>
      </c>
      <c r="D114" s="1" t="s">
        <v>74</v>
      </c>
      <c r="E114" s="1" t="s">
        <v>309</v>
      </c>
      <c r="F114" s="7" t="s">
        <v>617</v>
      </c>
      <c r="G114" s="7" t="s">
        <v>310</v>
      </c>
      <c r="H114" s="10">
        <v>7006338</v>
      </c>
      <c r="I114" s="10">
        <v>7018347</v>
      </c>
      <c r="J114" s="10">
        <v>49869</v>
      </c>
      <c r="K114" s="48">
        <v>1546968</v>
      </c>
      <c r="L114" s="48">
        <v>2475778</v>
      </c>
      <c r="M114" s="48">
        <v>185112</v>
      </c>
      <c r="N114" s="48">
        <v>0</v>
      </c>
      <c r="O114" s="48">
        <v>0</v>
      </c>
      <c r="P114" s="48">
        <v>321259</v>
      </c>
      <c r="Q114" s="48">
        <v>0</v>
      </c>
      <c r="R114" s="10">
        <v>1368427</v>
      </c>
      <c r="S114" s="10">
        <v>652796</v>
      </c>
      <c r="T114" s="10">
        <v>19106</v>
      </c>
      <c r="U114" s="10">
        <v>55444</v>
      </c>
      <c r="V114" s="10">
        <v>6899246</v>
      </c>
      <c r="W114" s="12">
        <v>0.04</v>
      </c>
      <c r="X114" s="10">
        <v>1546968</v>
      </c>
      <c r="Y114" s="22">
        <f>270057/4940997</f>
        <v>5.4656378054874354E-2</v>
      </c>
      <c r="Z114" s="10">
        <v>270057</v>
      </c>
      <c r="AA114" s="10">
        <v>0</v>
      </c>
      <c r="AB114" s="10">
        <f>12009+381</f>
        <v>12390</v>
      </c>
      <c r="AC114" s="10">
        <v>95113</v>
      </c>
      <c r="AD114" s="10">
        <v>7221</v>
      </c>
      <c r="AE114" s="10">
        <v>11849</v>
      </c>
      <c r="AF114" s="10">
        <v>10143</v>
      </c>
      <c r="AG114" s="10">
        <v>6035</v>
      </c>
      <c r="AH114" s="10">
        <v>18470</v>
      </c>
      <c r="AI114" s="10">
        <v>0</v>
      </c>
      <c r="AJ114" s="10">
        <v>0</v>
      </c>
      <c r="AK114" s="10">
        <f>4348+16023+8906</f>
        <v>29277</v>
      </c>
      <c r="AL114" s="10">
        <v>6839</v>
      </c>
      <c r="AM114" s="10">
        <v>642</v>
      </c>
      <c r="AN114" s="10">
        <v>19690</v>
      </c>
      <c r="AO114" s="10">
        <v>37875</v>
      </c>
      <c r="AP114" s="10">
        <v>220287</v>
      </c>
      <c r="AQ114" s="10">
        <v>218724</v>
      </c>
      <c r="AR114" s="12">
        <f t="shared" si="11"/>
        <v>0.17193479415489793</v>
      </c>
      <c r="AS114" s="10">
        <v>0</v>
      </c>
      <c r="AT114" s="10">
        <v>0</v>
      </c>
      <c r="AU114" s="10">
        <v>139662</v>
      </c>
      <c r="AV114" s="10">
        <v>0</v>
      </c>
      <c r="AW114" s="10">
        <v>28987</v>
      </c>
      <c r="AX114" s="10">
        <v>0</v>
      </c>
      <c r="AY114" s="10">
        <v>0</v>
      </c>
      <c r="AZ114" s="10">
        <v>0</v>
      </c>
      <c r="BA114" s="10">
        <v>1040</v>
      </c>
      <c r="BB114" s="10">
        <v>698</v>
      </c>
      <c r="BC114" s="10">
        <v>0</v>
      </c>
      <c r="BD114" s="10">
        <f>16-1</f>
        <v>15</v>
      </c>
      <c r="BE114" s="10">
        <v>-83</v>
      </c>
      <c r="BF114" s="10">
        <v>-174</v>
      </c>
      <c r="BG114" s="10">
        <v>-125</v>
      </c>
      <c r="BH114" s="10">
        <v>0</v>
      </c>
      <c r="BI114" s="10">
        <f t="shared" si="12"/>
        <v>1371</v>
      </c>
      <c r="BJ114" s="1">
        <v>0</v>
      </c>
      <c r="BK114" s="1">
        <v>25</v>
      </c>
      <c r="BL114" s="1">
        <v>13</v>
      </c>
      <c r="BM114" s="1">
        <v>86</v>
      </c>
      <c r="BN114" s="1">
        <v>0</v>
      </c>
      <c r="BO114" s="1">
        <v>1</v>
      </c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>
      <c r="A115" s="1">
        <v>10</v>
      </c>
      <c r="B115" s="1" t="s">
        <v>413</v>
      </c>
      <c r="C115" s="7" t="s">
        <v>324</v>
      </c>
      <c r="D115" s="1" t="s">
        <v>72</v>
      </c>
      <c r="E115" s="1" t="s">
        <v>309</v>
      </c>
      <c r="F115" s="7" t="s">
        <v>617</v>
      </c>
      <c r="G115" s="7" t="s">
        <v>310</v>
      </c>
      <c r="H115" s="10">
        <v>19246867</v>
      </c>
      <c r="I115" s="10">
        <v>19326077</v>
      </c>
      <c r="J115" s="10">
        <v>475519</v>
      </c>
      <c r="K115" s="48">
        <v>5644601</v>
      </c>
      <c r="L115" s="48">
        <v>104053</v>
      </c>
      <c r="M115" s="48">
        <v>6580397</v>
      </c>
      <c r="N115" s="48">
        <v>0</v>
      </c>
      <c r="O115" s="48">
        <v>10866</v>
      </c>
      <c r="P115" s="48">
        <v>674897</v>
      </c>
      <c r="Q115" s="48">
        <v>0</v>
      </c>
      <c r="R115" s="10">
        <v>3175702</v>
      </c>
      <c r="S115" s="10">
        <v>1281478</v>
      </c>
      <c r="T115" s="10">
        <v>61764</v>
      </c>
      <c r="U115" s="10">
        <v>59297</v>
      </c>
      <c r="V115" s="10">
        <v>18692788</v>
      </c>
      <c r="W115" s="12">
        <v>2.3199999999999998E-2</v>
      </c>
      <c r="X115" s="10">
        <v>5644601</v>
      </c>
      <c r="Y115" s="22">
        <f>779185/12986423</f>
        <v>5.9999970738670687E-2</v>
      </c>
      <c r="Z115" s="10">
        <v>722127</v>
      </c>
      <c r="AA115" s="10">
        <v>0</v>
      </c>
      <c r="AB115" s="10">
        <f>67150+4725+965</f>
        <v>72840</v>
      </c>
      <c r="AC115" s="10">
        <v>444066</v>
      </c>
      <c r="AD115" s="10">
        <v>35991</v>
      </c>
      <c r="AE115" s="10">
        <v>78846</v>
      </c>
      <c r="AF115" s="10">
        <f>37320+2138</f>
        <v>39458</v>
      </c>
      <c r="AG115" s="10">
        <v>10925</v>
      </c>
      <c r="AH115" s="10">
        <v>16680</v>
      </c>
      <c r="AI115" s="10">
        <v>0</v>
      </c>
      <c r="AJ115" s="10">
        <v>13163</v>
      </c>
      <c r="AK115" s="10">
        <f>11711+9955+16687</f>
        <v>38353</v>
      </c>
      <c r="AL115" s="10">
        <v>8927</v>
      </c>
      <c r="AM115" s="10">
        <v>15339</v>
      </c>
      <c r="AN115" s="10">
        <v>5448</v>
      </c>
      <c r="AO115" s="10">
        <v>0</v>
      </c>
      <c r="AP115" s="10">
        <v>782563</v>
      </c>
      <c r="AQ115" s="10">
        <v>788752</v>
      </c>
      <c r="AR115" s="12">
        <f t="shared" si="11"/>
        <v>0</v>
      </c>
      <c r="AS115" s="10">
        <v>0</v>
      </c>
      <c r="AT115" s="10">
        <v>0</v>
      </c>
      <c r="AU115" s="10">
        <v>139662</v>
      </c>
      <c r="AV115" s="10">
        <v>0</v>
      </c>
      <c r="AW115" s="10">
        <v>111093</v>
      </c>
      <c r="AX115" s="10">
        <v>0</v>
      </c>
      <c r="AY115" s="10">
        <v>0</v>
      </c>
      <c r="AZ115" s="10">
        <v>0</v>
      </c>
      <c r="BA115" s="10">
        <v>2722</v>
      </c>
      <c r="BB115" s="10">
        <v>1381</v>
      </c>
      <c r="BC115" s="10">
        <v>0</v>
      </c>
      <c r="BD115" s="10">
        <f>13-1</f>
        <v>12</v>
      </c>
      <c r="BE115" s="10">
        <v>-200</v>
      </c>
      <c r="BF115" s="10">
        <v>-633</v>
      </c>
      <c r="BG115" s="10">
        <v>-410</v>
      </c>
      <c r="BH115" s="10">
        <v>-3</v>
      </c>
      <c r="BI115" s="10">
        <f t="shared" si="12"/>
        <v>2869</v>
      </c>
      <c r="BJ115" s="1">
        <v>4</v>
      </c>
      <c r="BK115" s="1">
        <v>102</v>
      </c>
      <c r="BL115" s="1">
        <v>58</v>
      </c>
      <c r="BM115" s="1">
        <v>241</v>
      </c>
      <c r="BN115" s="1">
        <v>2</v>
      </c>
      <c r="BO115" s="1">
        <v>7</v>
      </c>
      <c r="BP115" s="1">
        <v>0</v>
      </c>
      <c r="BQ115" s="1">
        <v>0</v>
      </c>
      <c r="BR115" s="1">
        <v>26</v>
      </c>
      <c r="BS115" s="1">
        <v>136</v>
      </c>
      <c r="BT115" s="1">
        <v>1</v>
      </c>
      <c r="BU115" s="1">
        <v>3</v>
      </c>
      <c r="BV115" s="1">
        <v>4</v>
      </c>
      <c r="BW115" s="1">
        <v>36</v>
      </c>
      <c r="BX115" s="1">
        <v>319</v>
      </c>
      <c r="BY115" s="1">
        <v>8</v>
      </c>
    </row>
    <row r="116" spans="1:77">
      <c r="A116" s="31">
        <v>10</v>
      </c>
      <c r="B116" s="7" t="s">
        <v>429</v>
      </c>
      <c r="C116" s="7" t="s">
        <v>173</v>
      </c>
      <c r="D116" s="7" t="s">
        <v>614</v>
      </c>
      <c r="E116" s="7" t="s">
        <v>311</v>
      </c>
      <c r="F116" s="7" t="s">
        <v>478</v>
      </c>
      <c r="G116" s="7" t="s">
        <v>313</v>
      </c>
      <c r="H116" s="10">
        <v>96192</v>
      </c>
      <c r="I116" s="10">
        <v>130865</v>
      </c>
      <c r="J116" s="10">
        <v>0</v>
      </c>
      <c r="K116" s="48">
        <v>30300</v>
      </c>
      <c r="L116" s="48">
        <v>0</v>
      </c>
      <c r="M116" s="48">
        <v>5226</v>
      </c>
      <c r="N116" s="48">
        <v>28943</v>
      </c>
      <c r="O116" s="48">
        <v>0</v>
      </c>
      <c r="P116" s="48">
        <v>0</v>
      </c>
      <c r="Q116" s="48">
        <v>2299</v>
      </c>
      <c r="R116" s="10">
        <v>4186</v>
      </c>
      <c r="S116" s="10">
        <v>22912</v>
      </c>
      <c r="T116" s="10">
        <v>0</v>
      </c>
      <c r="U116" s="10">
        <v>0</v>
      </c>
      <c r="V116" s="10">
        <v>100313</v>
      </c>
      <c r="W116" s="12">
        <v>0.32</v>
      </c>
      <c r="X116" s="10">
        <v>30300</v>
      </c>
      <c r="Y116" s="22">
        <f>6479/64787</f>
        <v>0.10000463055859972</v>
      </c>
      <c r="Z116" s="10">
        <v>6447</v>
      </c>
      <c r="AA116" s="10">
        <v>0</v>
      </c>
      <c r="AB116" s="10">
        <v>10</v>
      </c>
      <c r="AC116" s="10">
        <v>0</v>
      </c>
      <c r="AD116" s="10">
        <v>0</v>
      </c>
      <c r="AE116" s="10">
        <v>0</v>
      </c>
      <c r="AF116" s="10">
        <v>9930</v>
      </c>
      <c r="AG116" s="10">
        <v>49</v>
      </c>
      <c r="AH116" s="10">
        <v>5007</v>
      </c>
      <c r="AI116" s="10">
        <v>0</v>
      </c>
      <c r="AJ116" s="10">
        <v>847</v>
      </c>
      <c r="AK116" s="10">
        <f>1215+125+1583</f>
        <v>2923</v>
      </c>
      <c r="AL116" s="10">
        <v>25</v>
      </c>
      <c r="AM116" s="10">
        <v>2117</v>
      </c>
      <c r="AN116" s="10">
        <v>9245</v>
      </c>
      <c r="AO116" s="10">
        <v>0</v>
      </c>
      <c r="AP116" s="10">
        <v>31022</v>
      </c>
      <c r="AQ116" s="10">
        <v>34550</v>
      </c>
      <c r="AR116" s="12">
        <f t="shared" si="11"/>
        <v>0</v>
      </c>
      <c r="AS116" s="10">
        <v>0</v>
      </c>
      <c r="AT116" s="10">
        <v>0</v>
      </c>
      <c r="AU116" s="10">
        <v>0</v>
      </c>
      <c r="AV116" s="10">
        <v>0</v>
      </c>
      <c r="AW116" s="10">
        <v>3780</v>
      </c>
      <c r="AX116" s="10">
        <v>0</v>
      </c>
      <c r="AY116" s="10">
        <v>0</v>
      </c>
      <c r="AZ116" s="10">
        <v>5000</v>
      </c>
      <c r="BA116" s="10">
        <v>0</v>
      </c>
      <c r="BB116" s="10">
        <v>93</v>
      </c>
      <c r="BC116" s="10">
        <v>0</v>
      </c>
      <c r="BD116" s="10">
        <v>52</v>
      </c>
      <c r="BE116" s="10">
        <v>-1</v>
      </c>
      <c r="BF116" s="10">
        <v>-2</v>
      </c>
      <c r="BG116" s="10">
        <v>0</v>
      </c>
      <c r="BH116" s="10">
        <v>0</v>
      </c>
      <c r="BI116" s="10">
        <f t="shared" si="12"/>
        <v>142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</row>
    <row r="117" spans="1:77">
      <c r="A117" s="1">
        <v>10</v>
      </c>
      <c r="B117" s="1" t="s">
        <v>435</v>
      </c>
      <c r="C117" s="7" t="s">
        <v>641</v>
      </c>
      <c r="D117" s="1" t="s">
        <v>426</v>
      </c>
      <c r="E117" s="1" t="s">
        <v>311</v>
      </c>
      <c r="F117" s="7" t="s">
        <v>478</v>
      </c>
      <c r="G117" s="7" t="s">
        <v>313</v>
      </c>
      <c r="H117" s="10">
        <v>9585107</v>
      </c>
      <c r="I117" s="10">
        <v>9600915</v>
      </c>
      <c r="J117" s="10">
        <v>341467</v>
      </c>
      <c r="K117" s="48">
        <v>4253474</v>
      </c>
      <c r="L117" s="48">
        <v>0</v>
      </c>
      <c r="M117" s="48">
        <v>0</v>
      </c>
      <c r="N117" s="48">
        <v>2586229</v>
      </c>
      <c r="O117" s="48">
        <v>0</v>
      </c>
      <c r="P117" s="48">
        <v>0</v>
      </c>
      <c r="Q117" s="48">
        <v>393224</v>
      </c>
      <c r="R117" s="10">
        <v>888735</v>
      </c>
      <c r="S117" s="10">
        <v>455998</v>
      </c>
      <c r="T117" s="10">
        <v>0</v>
      </c>
      <c r="U117" s="10">
        <v>0</v>
      </c>
      <c r="V117" s="10">
        <v>9116054</v>
      </c>
      <c r="W117" s="12">
        <v>0.05</v>
      </c>
      <c r="X117" s="10">
        <v>4253474</v>
      </c>
      <c r="Y117" s="22">
        <f>463146/4796278</f>
        <v>9.6563627045805095E-2</v>
      </c>
      <c r="Z117" s="10">
        <v>463146</v>
      </c>
      <c r="AA117" s="10">
        <v>0</v>
      </c>
      <c r="AB117" s="10">
        <f>13477+1215+854</f>
        <v>15546</v>
      </c>
      <c r="AC117" s="10">
        <v>180082</v>
      </c>
      <c r="AD117" s="10">
        <v>13337</v>
      </c>
      <c r="AE117" s="10">
        <v>16974</v>
      </c>
      <c r="AF117" s="10">
        <f>16638+4686</f>
        <v>21324</v>
      </c>
      <c r="AG117" s="10">
        <v>1700</v>
      </c>
      <c r="AH117" s="10">
        <v>7273</v>
      </c>
      <c r="AI117" s="10">
        <v>10068</v>
      </c>
      <c r="AJ117" s="10">
        <v>0</v>
      </c>
      <c r="AK117" s="10">
        <f>6660+14485+15251</f>
        <v>36396</v>
      </c>
      <c r="AL117" s="10">
        <v>2773</v>
      </c>
      <c r="AM117" s="10">
        <v>6701</v>
      </c>
      <c r="AN117" s="10">
        <v>13106</v>
      </c>
      <c r="AO117" s="10">
        <v>59889</v>
      </c>
      <c r="AP117" s="10">
        <v>330724</v>
      </c>
      <c r="AQ117" s="10">
        <v>366893</v>
      </c>
      <c r="AR117" s="12">
        <f t="shared" si="11"/>
        <v>0.18108452969847971</v>
      </c>
      <c r="AS117" s="10">
        <v>725</v>
      </c>
      <c r="AT117" s="10">
        <v>0</v>
      </c>
      <c r="AU117" s="10">
        <v>139662</v>
      </c>
      <c r="AV117" s="10">
        <v>0</v>
      </c>
      <c r="AW117" s="10">
        <v>53342</v>
      </c>
      <c r="AX117" s="10">
        <v>0</v>
      </c>
      <c r="AY117" s="10">
        <v>0</v>
      </c>
      <c r="AZ117" s="10">
        <v>0</v>
      </c>
      <c r="BA117" s="10">
        <v>1104</v>
      </c>
      <c r="BB117" s="10">
        <v>473</v>
      </c>
      <c r="BC117" s="10">
        <v>0</v>
      </c>
      <c r="BD117" s="10">
        <f>9+10-48</f>
        <v>-29</v>
      </c>
      <c r="BE117" s="10">
        <v>-84</v>
      </c>
      <c r="BF117" s="10">
        <v>-194</v>
      </c>
      <c r="BG117" s="10">
        <v>-132</v>
      </c>
      <c r="BH117" s="10">
        <v>-4</v>
      </c>
      <c r="BI117" s="10">
        <f t="shared" si="12"/>
        <v>1134</v>
      </c>
      <c r="BJ117" s="1">
        <v>9</v>
      </c>
      <c r="BK117" s="1">
        <v>35</v>
      </c>
      <c r="BL117" s="1">
        <v>7</v>
      </c>
      <c r="BM117" s="1">
        <v>29</v>
      </c>
      <c r="BN117" s="1">
        <v>56</v>
      </c>
      <c r="BO117" s="1">
        <v>3</v>
      </c>
      <c r="BP117" s="1" t="s">
        <v>453</v>
      </c>
      <c r="BQ117" s="1" t="s">
        <v>453</v>
      </c>
      <c r="BR117" s="1" t="s">
        <v>453</v>
      </c>
      <c r="BS117" s="1" t="s">
        <v>453</v>
      </c>
      <c r="BT117" s="1" t="s">
        <v>453</v>
      </c>
      <c r="BU117" s="1" t="s">
        <v>453</v>
      </c>
      <c r="BV117" s="1" t="s">
        <v>453</v>
      </c>
      <c r="BW117" s="1" t="s">
        <v>453</v>
      </c>
      <c r="BX117" s="1" t="s">
        <v>453</v>
      </c>
      <c r="BY117" s="1" t="s">
        <v>453</v>
      </c>
    </row>
    <row r="118" spans="1:77">
      <c r="A118" s="1">
        <v>10</v>
      </c>
      <c r="B118" s="1" t="s">
        <v>450</v>
      </c>
      <c r="C118" s="7" t="s">
        <v>565</v>
      </c>
      <c r="D118" s="1" t="s">
        <v>222</v>
      </c>
      <c r="E118" s="1" t="s">
        <v>311</v>
      </c>
      <c r="F118" s="7" t="s">
        <v>617</v>
      </c>
      <c r="G118" s="7" t="s">
        <v>313</v>
      </c>
      <c r="H118" s="10">
        <v>5058747</v>
      </c>
      <c r="I118" s="10">
        <v>5089970</v>
      </c>
      <c r="J118" s="10">
        <v>96704</v>
      </c>
      <c r="K118" s="48">
        <v>0</v>
      </c>
      <c r="L118" s="48">
        <v>0</v>
      </c>
      <c r="M118" s="48">
        <v>936539</v>
      </c>
      <c r="N118" s="48">
        <v>1867626</v>
      </c>
      <c r="O118" s="48">
        <v>0</v>
      </c>
      <c r="P118" s="48">
        <v>0</v>
      </c>
      <c r="Q118" s="48">
        <v>167724</v>
      </c>
      <c r="R118" s="10">
        <v>1111617</v>
      </c>
      <c r="S118" s="10">
        <v>357692</v>
      </c>
      <c r="T118" s="10">
        <v>2026</v>
      </c>
      <c r="U118" s="10">
        <v>9214</v>
      </c>
      <c r="V118" s="10">
        <v>4877383</v>
      </c>
      <c r="W118" s="12">
        <v>0.09</v>
      </c>
      <c r="X118" s="10">
        <v>936539</v>
      </c>
      <c r="Y118" s="22">
        <f>368372/3877604</f>
        <v>9.4999902001338968E-2</v>
      </c>
      <c r="Z118" s="10">
        <v>368147</v>
      </c>
      <c r="AA118" s="10">
        <v>0</v>
      </c>
      <c r="AB118" s="10">
        <f>28048+2346+328</f>
        <v>30722</v>
      </c>
      <c r="AC118" s="10">
        <v>102345</v>
      </c>
      <c r="AD118" s="10">
        <v>8186</v>
      </c>
      <c r="AE118" s="10">
        <v>9052</v>
      </c>
      <c r="AF118" s="10">
        <f>15183+1896</f>
        <v>17079</v>
      </c>
      <c r="AG118" s="10">
        <v>7773</v>
      </c>
      <c r="AH118" s="10">
        <v>20964</v>
      </c>
      <c r="AI118" s="10">
        <v>3275</v>
      </c>
      <c r="AJ118" s="10">
        <v>0</v>
      </c>
      <c r="AK118" s="10">
        <f>6281+16018+12776</f>
        <v>35075</v>
      </c>
      <c r="AL118" s="10">
        <v>5229</v>
      </c>
      <c r="AM118" s="10">
        <v>8279</v>
      </c>
      <c r="AN118" s="10">
        <v>22212</v>
      </c>
      <c r="AO118" s="10">
        <v>0</v>
      </c>
      <c r="AP118" s="10">
        <v>267418</v>
      </c>
      <c r="AQ118" s="10">
        <v>283009</v>
      </c>
      <c r="AR118" s="12">
        <f t="shared" si="11"/>
        <v>0</v>
      </c>
      <c r="AS118" s="10">
        <v>0</v>
      </c>
      <c r="AT118" s="10">
        <v>0</v>
      </c>
      <c r="AU118" s="10">
        <v>139625</v>
      </c>
      <c r="AV118" s="10">
        <v>0</v>
      </c>
      <c r="AW118" s="10">
        <v>24248</v>
      </c>
      <c r="AX118" s="10">
        <v>0</v>
      </c>
      <c r="AY118" s="10">
        <v>0</v>
      </c>
      <c r="AZ118" s="10">
        <v>0</v>
      </c>
      <c r="BA118" s="10">
        <v>848</v>
      </c>
      <c r="BB118" s="10">
        <v>346</v>
      </c>
      <c r="BC118" s="10">
        <v>0</v>
      </c>
      <c r="BD118" s="10">
        <v>-3</v>
      </c>
      <c r="BE118" s="10">
        <v>-57</v>
      </c>
      <c r="BF118" s="10">
        <v>-83</v>
      </c>
      <c r="BG118" s="10">
        <v>-83</v>
      </c>
      <c r="BH118" s="10">
        <v>-7</v>
      </c>
      <c r="BI118" s="10">
        <f t="shared" si="12"/>
        <v>961</v>
      </c>
      <c r="BJ118" s="1">
        <v>14</v>
      </c>
      <c r="BK118" s="1">
        <v>11</v>
      </c>
      <c r="BL118" s="1">
        <v>3</v>
      </c>
      <c r="BM118" s="1">
        <v>7</v>
      </c>
      <c r="BN118" s="1">
        <v>243</v>
      </c>
      <c r="BO118" s="1">
        <v>5</v>
      </c>
      <c r="BP118" s="1" t="s">
        <v>453</v>
      </c>
      <c r="BQ118" s="1" t="s">
        <v>453</v>
      </c>
      <c r="BR118" s="1" t="s">
        <v>453</v>
      </c>
      <c r="BS118" s="1" t="s">
        <v>453</v>
      </c>
      <c r="BT118" s="1" t="s">
        <v>453</v>
      </c>
      <c r="BU118" s="1" t="s">
        <v>453</v>
      </c>
      <c r="BV118" s="1" t="s">
        <v>453</v>
      </c>
      <c r="BW118" s="1" t="s">
        <v>453</v>
      </c>
      <c r="BX118" s="1" t="s">
        <v>453</v>
      </c>
      <c r="BY118" s="1" t="s">
        <v>453</v>
      </c>
    </row>
    <row r="119" spans="1:77">
      <c r="A119" s="1">
        <v>10</v>
      </c>
      <c r="B119" s="1" t="s">
        <v>577</v>
      </c>
      <c r="C119" s="7" t="s">
        <v>168</v>
      </c>
      <c r="D119" s="1" t="s">
        <v>366</v>
      </c>
      <c r="E119" s="1" t="s">
        <v>311</v>
      </c>
      <c r="F119" s="7" t="s">
        <v>478</v>
      </c>
      <c r="G119" s="7" t="s">
        <v>313</v>
      </c>
      <c r="H119" s="10">
        <v>3059841</v>
      </c>
      <c r="I119" s="10">
        <v>3068239</v>
      </c>
      <c r="J119" s="10">
        <v>28580</v>
      </c>
      <c r="K119" s="48">
        <v>1001629</v>
      </c>
      <c r="L119" s="48">
        <v>62238</v>
      </c>
      <c r="M119" s="48">
        <v>720671</v>
      </c>
      <c r="N119" s="48">
        <v>0</v>
      </c>
      <c r="O119" s="48">
        <v>0</v>
      </c>
      <c r="P119" s="48">
        <v>147436</v>
      </c>
      <c r="Q119" s="48">
        <v>0</v>
      </c>
      <c r="R119" s="10">
        <v>661907</v>
      </c>
      <c r="S119" s="10">
        <v>136772</v>
      </c>
      <c r="T119" s="10">
        <v>0</v>
      </c>
      <c r="U119" s="10">
        <v>0</v>
      </c>
      <c r="V119" s="10">
        <v>2975963</v>
      </c>
      <c r="W119" s="12">
        <v>0.15</v>
      </c>
      <c r="X119" s="10">
        <v>0</v>
      </c>
      <c r="Y119" s="22">
        <f>236097/3004722</f>
        <v>7.8575322442475545E-2</v>
      </c>
      <c r="Z119" s="10">
        <v>235911</v>
      </c>
      <c r="AA119" s="10">
        <v>0</v>
      </c>
      <c r="AB119" s="10">
        <f>8398+337+384</f>
        <v>9119</v>
      </c>
      <c r="AC119" s="10">
        <v>39184</v>
      </c>
      <c r="AD119" s="10">
        <v>0</v>
      </c>
      <c r="AE119" s="10">
        <v>0</v>
      </c>
      <c r="AF119" s="10">
        <f>7667+734</f>
        <v>8401</v>
      </c>
      <c r="AG119" s="10">
        <v>0</v>
      </c>
      <c r="AH119" s="10">
        <v>9915</v>
      </c>
      <c r="AI119" s="10">
        <v>0</v>
      </c>
      <c r="AJ119" s="10">
        <v>0</v>
      </c>
      <c r="AK119" s="10">
        <f>1670+5784+5226</f>
        <v>12680</v>
      </c>
      <c r="AL119" s="10">
        <v>2213</v>
      </c>
      <c r="AM119" s="10">
        <v>1033</v>
      </c>
      <c r="AN119" s="10">
        <v>5663</v>
      </c>
      <c r="AO119" s="10">
        <v>0</v>
      </c>
      <c r="AP119" s="10">
        <v>93137</v>
      </c>
      <c r="AQ119" s="10">
        <v>101778</v>
      </c>
      <c r="AR119" s="12">
        <f t="shared" si="11"/>
        <v>0</v>
      </c>
      <c r="AS119" s="10">
        <v>0</v>
      </c>
      <c r="AT119" s="10">
        <v>0</v>
      </c>
      <c r="AU119" s="10">
        <v>139662</v>
      </c>
      <c r="AV119" s="10">
        <v>0</v>
      </c>
      <c r="AW119" s="10">
        <v>15871</v>
      </c>
      <c r="AX119" s="10">
        <v>38</v>
      </c>
      <c r="AY119" s="10">
        <v>38</v>
      </c>
      <c r="AZ119" s="10">
        <v>0</v>
      </c>
      <c r="BA119" s="10">
        <v>418</v>
      </c>
      <c r="BB119" s="10">
        <v>149</v>
      </c>
      <c r="BC119" s="10">
        <v>0</v>
      </c>
      <c r="BD119" s="10">
        <v>0</v>
      </c>
      <c r="BE119" s="10">
        <v>-27</v>
      </c>
      <c r="BF119" s="10">
        <v>-57</v>
      </c>
      <c r="BG119" s="10">
        <v>-51</v>
      </c>
      <c r="BH119" s="10">
        <v>0</v>
      </c>
      <c r="BI119" s="10">
        <f t="shared" si="12"/>
        <v>432</v>
      </c>
      <c r="BJ119" s="1">
        <v>0</v>
      </c>
      <c r="BK119" s="1">
        <v>25</v>
      </c>
      <c r="BL119" s="1">
        <v>4</v>
      </c>
      <c r="BM119" s="1">
        <v>17</v>
      </c>
      <c r="BN119" s="1">
        <v>4</v>
      </c>
      <c r="BO119" s="1">
        <v>1</v>
      </c>
      <c r="BP119" s="1" t="s">
        <v>453</v>
      </c>
      <c r="BQ119" s="1" t="s">
        <v>453</v>
      </c>
      <c r="BR119" s="1" t="s">
        <v>453</v>
      </c>
      <c r="BS119" s="1" t="s">
        <v>453</v>
      </c>
      <c r="BT119" s="1" t="s">
        <v>453</v>
      </c>
      <c r="BU119" s="1" t="s">
        <v>453</v>
      </c>
      <c r="BV119" s="1" t="s">
        <v>453</v>
      </c>
      <c r="BW119" s="1" t="s">
        <v>453</v>
      </c>
      <c r="BX119" s="1" t="s">
        <v>453</v>
      </c>
      <c r="BY119" s="1" t="s">
        <v>453</v>
      </c>
    </row>
    <row r="120" spans="1:77">
      <c r="A120" s="1">
        <v>11</v>
      </c>
      <c r="B120" s="1" t="s">
        <v>125</v>
      </c>
      <c r="C120" s="7" t="s">
        <v>703</v>
      </c>
      <c r="D120" s="1" t="s">
        <v>399</v>
      </c>
      <c r="E120" s="1" t="s">
        <v>700</v>
      </c>
      <c r="F120" s="7" t="s">
        <v>695</v>
      </c>
      <c r="G120" s="7" t="s">
        <v>710</v>
      </c>
      <c r="H120" s="10">
        <v>4576102</v>
      </c>
      <c r="I120" s="10">
        <v>4580790</v>
      </c>
      <c r="J120" s="10">
        <v>94226</v>
      </c>
      <c r="K120" s="48">
        <v>0</v>
      </c>
      <c r="L120" s="48">
        <v>0</v>
      </c>
      <c r="M120" s="48">
        <v>0</v>
      </c>
      <c r="N120" s="48">
        <v>2454822</v>
      </c>
      <c r="O120" s="48">
        <v>0</v>
      </c>
      <c r="P120" s="48">
        <v>0</v>
      </c>
      <c r="Q120" s="48">
        <v>541016</v>
      </c>
      <c r="R120" s="10">
        <v>665351</v>
      </c>
      <c r="S120" s="10">
        <v>261625</v>
      </c>
      <c r="T120" s="10">
        <v>0</v>
      </c>
      <c r="U120" s="10">
        <v>0</v>
      </c>
      <c r="V120" s="10">
        <v>4393911</v>
      </c>
      <c r="W120" s="12">
        <v>3.3799999999999997E-2</v>
      </c>
      <c r="X120" s="10">
        <v>0</v>
      </c>
      <c r="Y120" s="22">
        <f>434782/4391740</f>
        <v>9.8999940797952518E-2</v>
      </c>
      <c r="Z120" s="10">
        <v>433378</v>
      </c>
      <c r="AA120" s="10">
        <v>0</v>
      </c>
      <c r="AB120" s="10">
        <v>4688</v>
      </c>
      <c r="AC120" s="10">
        <v>146828</v>
      </c>
      <c r="AD120" s="10">
        <v>12866</v>
      </c>
      <c r="AE120" s="10">
        <v>23471</v>
      </c>
      <c r="AF120" s="10">
        <f>21871+3633</f>
        <v>25504</v>
      </c>
      <c r="AG120" s="10">
        <v>4160</v>
      </c>
      <c r="AH120" s="10">
        <v>842</v>
      </c>
      <c r="AI120" s="10">
        <v>50</v>
      </c>
      <c r="AJ120" s="10">
        <v>0</v>
      </c>
      <c r="AK120" s="10">
        <f>2498+8010+3104</f>
        <v>13612</v>
      </c>
      <c r="AL120" s="10">
        <v>1385</v>
      </c>
      <c r="AM120" s="10">
        <v>4788</v>
      </c>
      <c r="AN120" s="10">
        <v>4318</v>
      </c>
      <c r="AO120" s="10">
        <v>6131</v>
      </c>
      <c r="AP120" s="10">
        <v>281199</v>
      </c>
      <c r="AQ120" s="10">
        <v>293179</v>
      </c>
      <c r="AR120" s="12">
        <f t="shared" si="11"/>
        <v>2.1803064733516123E-2</v>
      </c>
      <c r="AS120" s="10">
        <v>0</v>
      </c>
      <c r="AT120" s="10">
        <v>0</v>
      </c>
      <c r="AU120" s="10">
        <v>141609</v>
      </c>
      <c r="AV120" s="10">
        <v>1947</v>
      </c>
      <c r="AW120" s="10">
        <v>24887</v>
      </c>
      <c r="AX120" s="10">
        <v>0</v>
      </c>
      <c r="AY120" s="10">
        <v>0</v>
      </c>
      <c r="AZ120" s="10">
        <v>0</v>
      </c>
      <c r="BA120" s="10">
        <v>945</v>
      </c>
      <c r="BB120" s="10">
        <v>560</v>
      </c>
      <c r="BC120" s="10">
        <v>0</v>
      </c>
      <c r="BD120" s="10">
        <f>1+14</f>
        <v>15</v>
      </c>
      <c r="BE120" s="10">
        <v>-89</v>
      </c>
      <c r="BF120" s="10">
        <v>-262</v>
      </c>
      <c r="BG120" s="10">
        <v>-195</v>
      </c>
      <c r="BH120" s="10">
        <v>-1</v>
      </c>
      <c r="BI120" s="10">
        <f t="shared" si="12"/>
        <v>973</v>
      </c>
      <c r="BJ120" s="1">
        <v>0</v>
      </c>
      <c r="BK120" s="1">
        <v>35</v>
      </c>
      <c r="BL120" s="1">
        <v>14</v>
      </c>
      <c r="BM120" s="1">
        <v>111</v>
      </c>
      <c r="BN120" s="1">
        <v>36</v>
      </c>
      <c r="BO120" s="1">
        <v>2</v>
      </c>
      <c r="BP120" s="1" t="s">
        <v>453</v>
      </c>
      <c r="BQ120" s="1" t="s">
        <v>453</v>
      </c>
      <c r="BR120" s="1" t="s">
        <v>453</v>
      </c>
      <c r="BS120" s="1" t="s">
        <v>453</v>
      </c>
      <c r="BT120" s="1" t="s">
        <v>453</v>
      </c>
      <c r="BU120" s="1" t="s">
        <v>453</v>
      </c>
      <c r="BV120" s="1" t="s">
        <v>453</v>
      </c>
      <c r="BW120" s="1" t="s">
        <v>453</v>
      </c>
      <c r="BX120" s="1" t="s">
        <v>453</v>
      </c>
      <c r="BY120" s="1" t="s">
        <v>453</v>
      </c>
    </row>
    <row r="121" spans="1:77">
      <c r="A121" s="31">
        <v>11</v>
      </c>
      <c r="B121" s="7" t="s">
        <v>329</v>
      </c>
      <c r="C121" s="7" t="s">
        <v>211</v>
      </c>
      <c r="D121" s="7" t="s">
        <v>128</v>
      </c>
      <c r="E121" s="7" t="s">
        <v>309</v>
      </c>
      <c r="F121" s="7" t="s">
        <v>478</v>
      </c>
      <c r="G121" s="7" t="s">
        <v>310</v>
      </c>
      <c r="H121" s="10">
        <v>37315180</v>
      </c>
      <c r="I121" s="10">
        <v>37384700</v>
      </c>
      <c r="J121" s="10">
        <v>3210108</v>
      </c>
      <c r="K121" s="48">
        <v>0</v>
      </c>
      <c r="L121" s="48">
        <v>0</v>
      </c>
      <c r="M121" s="48">
        <v>0</v>
      </c>
      <c r="N121" s="48">
        <v>19503346</v>
      </c>
      <c r="O121" s="48">
        <v>0</v>
      </c>
      <c r="P121" s="48">
        <v>0</v>
      </c>
      <c r="Q121" s="48">
        <v>1042517</v>
      </c>
      <c r="R121" s="10">
        <v>7148839</v>
      </c>
      <c r="S121" s="10">
        <v>3467974</v>
      </c>
      <c r="T121" s="10">
        <v>0</v>
      </c>
      <c r="U121" s="10">
        <v>0</v>
      </c>
      <c r="V121" s="10">
        <v>33863612</v>
      </c>
      <c r="W121" s="12">
        <v>9.8900000000000002E-2</v>
      </c>
      <c r="X121" s="10">
        <v>0</v>
      </c>
      <c r="Y121" s="22">
        <f>2519398/33748268</f>
        <v>7.4652660693579884E-2</v>
      </c>
      <c r="Z121" s="10">
        <v>2519603</v>
      </c>
      <c r="AA121" s="10">
        <v>0</v>
      </c>
      <c r="AB121" s="10">
        <f>60704+8816</f>
        <v>69520</v>
      </c>
      <c r="AC121" s="10">
        <v>1328495</v>
      </c>
      <c r="AD121" s="10">
        <v>120892</v>
      </c>
      <c r="AE121" s="10">
        <v>239868</v>
      </c>
      <c r="AF121" s="10">
        <f>379573+13497</f>
        <v>393070</v>
      </c>
      <c r="AG121" s="10">
        <v>30460</v>
      </c>
      <c r="AH121" s="10">
        <v>2746</v>
      </c>
      <c r="AI121" s="10">
        <v>6214</v>
      </c>
      <c r="AJ121" s="10">
        <v>38360</v>
      </c>
      <c r="AK121" s="10">
        <f>41194+38752+27562</f>
        <v>107508</v>
      </c>
      <c r="AL121" s="10">
        <v>18247</v>
      </c>
      <c r="AM121" s="10">
        <v>0</v>
      </c>
      <c r="AN121" s="10">
        <v>79427</v>
      </c>
      <c r="AO121" s="10">
        <v>0</v>
      </c>
      <c r="AP121" s="10">
        <v>2465823</v>
      </c>
      <c r="AQ121" s="10">
        <v>2560395</v>
      </c>
      <c r="AR121" s="12">
        <f t="shared" si="11"/>
        <v>0</v>
      </c>
      <c r="AS121" s="10">
        <v>1877</v>
      </c>
      <c r="AT121" s="10">
        <v>0</v>
      </c>
      <c r="AU121" s="10">
        <v>138784</v>
      </c>
      <c r="AV121" s="10">
        <v>0</v>
      </c>
      <c r="AW121" s="10">
        <v>313313</v>
      </c>
      <c r="AX121" s="10">
        <v>0</v>
      </c>
      <c r="AY121" s="10">
        <v>0</v>
      </c>
      <c r="AZ121" s="10">
        <v>0</v>
      </c>
      <c r="BA121" s="10">
        <v>8217</v>
      </c>
      <c r="BB121" s="10">
        <v>5613</v>
      </c>
      <c r="BC121" s="10">
        <v>0</v>
      </c>
      <c r="BD121" s="10">
        <v>0</v>
      </c>
      <c r="BE121" s="10">
        <v>-1692</v>
      </c>
      <c r="BF121" s="10">
        <v>-2512</v>
      </c>
      <c r="BG121" s="10">
        <v>-710</v>
      </c>
      <c r="BH121" s="10">
        <v>0</v>
      </c>
      <c r="BI121" s="10">
        <f t="shared" si="12"/>
        <v>8916</v>
      </c>
      <c r="BJ121" s="1">
        <v>26</v>
      </c>
      <c r="BK121" s="1" t="s">
        <v>453</v>
      </c>
      <c r="BL121" s="1" t="s">
        <v>453</v>
      </c>
      <c r="BM121" s="1" t="s">
        <v>453</v>
      </c>
      <c r="BN121" s="1" t="s">
        <v>453</v>
      </c>
      <c r="BO121" s="1" t="s">
        <v>453</v>
      </c>
      <c r="BP121" s="1" t="s">
        <v>453</v>
      </c>
      <c r="BQ121" s="1" t="s">
        <v>453</v>
      </c>
      <c r="BR121" s="1" t="s">
        <v>453</v>
      </c>
      <c r="BS121" s="1" t="s">
        <v>453</v>
      </c>
      <c r="BT121" s="1" t="s">
        <v>453</v>
      </c>
      <c r="BU121" s="1" t="s">
        <v>453</v>
      </c>
      <c r="BV121" s="1" t="s">
        <v>453</v>
      </c>
      <c r="BW121" s="1" t="s">
        <v>453</v>
      </c>
      <c r="BX121" s="1" t="s">
        <v>453</v>
      </c>
      <c r="BY121" s="1" t="s">
        <v>453</v>
      </c>
    </row>
    <row r="122" spans="1:77">
      <c r="A122" s="1">
        <v>11</v>
      </c>
      <c r="B122" s="1" t="s">
        <v>337</v>
      </c>
      <c r="C122" s="7" t="s">
        <v>388</v>
      </c>
      <c r="D122" s="1" t="s">
        <v>430</v>
      </c>
      <c r="E122" s="1" t="s">
        <v>700</v>
      </c>
      <c r="F122" s="7" t="s">
        <v>205</v>
      </c>
      <c r="G122" s="7" t="s">
        <v>710</v>
      </c>
      <c r="H122" s="10">
        <v>16520715</v>
      </c>
      <c r="I122" s="10">
        <v>16555865</v>
      </c>
      <c r="J122" s="10">
        <v>236123</v>
      </c>
      <c r="K122" s="48">
        <v>8971032</v>
      </c>
      <c r="L122" s="48">
        <v>0</v>
      </c>
      <c r="M122" s="48">
        <v>0</v>
      </c>
      <c r="N122" s="48">
        <v>0</v>
      </c>
      <c r="O122" s="48">
        <v>0</v>
      </c>
      <c r="P122" s="48">
        <v>2302277</v>
      </c>
      <c r="Q122" s="48">
        <v>0</v>
      </c>
      <c r="R122" s="10">
        <v>3348926</v>
      </c>
      <c r="S122" s="10">
        <v>1035580</v>
      </c>
      <c r="T122" s="10">
        <v>858</v>
      </c>
      <c r="U122" s="10">
        <v>0</v>
      </c>
      <c r="V122" s="10">
        <v>16353603</v>
      </c>
      <c r="W122" s="12">
        <v>4.0099999999999997E-2</v>
      </c>
      <c r="X122" s="10">
        <v>0</v>
      </c>
      <c r="Y122" s="22">
        <f>694992/16352745</f>
        <v>4.2500020638736799E-2</v>
      </c>
      <c r="Z122" s="10">
        <v>694708</v>
      </c>
      <c r="AA122" s="10">
        <v>0</v>
      </c>
      <c r="AB122" s="10">
        <f>35150+777</f>
        <v>35927</v>
      </c>
      <c r="AC122" s="10">
        <v>267365</v>
      </c>
      <c r="AD122" s="10">
        <v>21772</v>
      </c>
      <c r="AE122" s="10">
        <v>67360</v>
      </c>
      <c r="AF122" s="10">
        <f>33779+2903</f>
        <v>36682</v>
      </c>
      <c r="AG122" s="10">
        <v>0</v>
      </c>
      <c r="AH122" s="10">
        <v>20356</v>
      </c>
      <c r="AI122" s="10">
        <v>637</v>
      </c>
      <c r="AJ122" s="10">
        <v>34860</v>
      </c>
      <c r="AK122" s="10">
        <f>10577+21585+20721</f>
        <v>52883</v>
      </c>
      <c r="AL122" s="10">
        <v>5798</v>
      </c>
      <c r="AM122" s="10">
        <v>5659</v>
      </c>
      <c r="AN122" s="10">
        <v>23244</v>
      </c>
      <c r="AO122" s="10">
        <v>0</v>
      </c>
      <c r="AP122" s="10">
        <v>561771</v>
      </c>
      <c r="AQ122" s="10">
        <v>567101</v>
      </c>
      <c r="AR122" s="12">
        <f t="shared" si="11"/>
        <v>0</v>
      </c>
      <c r="AS122" s="10">
        <v>232</v>
      </c>
      <c r="AT122" s="10">
        <v>0</v>
      </c>
      <c r="AU122" s="10">
        <v>139662</v>
      </c>
      <c r="AV122" s="10">
        <v>0</v>
      </c>
      <c r="AW122" s="10">
        <v>92682</v>
      </c>
      <c r="AX122" s="10">
        <v>0</v>
      </c>
      <c r="AY122" s="10">
        <v>0</v>
      </c>
      <c r="AZ122" s="10">
        <v>0</v>
      </c>
      <c r="BA122" s="10">
        <v>3764</v>
      </c>
      <c r="BB122" s="10">
        <v>1569</v>
      </c>
      <c r="BC122" s="10">
        <v>14</v>
      </c>
      <c r="BD122" s="10">
        <v>0</v>
      </c>
      <c r="BE122" s="10">
        <v>-230</v>
      </c>
      <c r="BF122" s="10">
        <v>-523</v>
      </c>
      <c r="BG122" s="10">
        <v>-550</v>
      </c>
      <c r="BH122" s="10">
        <v>0</v>
      </c>
      <c r="BI122" s="10">
        <f t="shared" si="12"/>
        <v>4044</v>
      </c>
      <c r="BJ122" s="1">
        <v>20</v>
      </c>
      <c r="BK122" s="1">
        <v>254</v>
      </c>
      <c r="BL122" s="1">
        <v>68</v>
      </c>
      <c r="BM122" s="1">
        <v>212</v>
      </c>
      <c r="BN122" s="1">
        <v>2</v>
      </c>
      <c r="BO122" s="1">
        <v>14</v>
      </c>
      <c r="BP122" s="1" t="s">
        <v>453</v>
      </c>
      <c r="BQ122" s="1" t="s">
        <v>453</v>
      </c>
      <c r="BR122" s="1" t="s">
        <v>453</v>
      </c>
      <c r="BS122" s="1" t="s">
        <v>453</v>
      </c>
      <c r="BT122" s="1" t="s">
        <v>453</v>
      </c>
      <c r="BU122" s="1" t="s">
        <v>453</v>
      </c>
      <c r="BV122" s="1" t="s">
        <v>453</v>
      </c>
      <c r="BW122" s="1" t="s">
        <v>453</v>
      </c>
      <c r="BX122" s="1" t="s">
        <v>453</v>
      </c>
      <c r="BY122" s="1" t="s">
        <v>453</v>
      </c>
    </row>
    <row r="123" spans="1:77">
      <c r="A123" s="1">
        <v>11</v>
      </c>
      <c r="B123" s="1" t="s">
        <v>355</v>
      </c>
      <c r="C123" s="1" t="s">
        <v>648</v>
      </c>
      <c r="D123" s="1" t="s">
        <v>501</v>
      </c>
      <c r="E123" s="1" t="s">
        <v>700</v>
      </c>
      <c r="F123" s="7" t="s">
        <v>205</v>
      </c>
      <c r="G123" s="7" t="s">
        <v>710</v>
      </c>
      <c r="H123" s="10">
        <v>6031570</v>
      </c>
      <c r="I123" s="10">
        <v>6033958</v>
      </c>
      <c r="J123" s="10">
        <v>136639</v>
      </c>
      <c r="K123" s="48">
        <v>14576</v>
      </c>
      <c r="L123" s="48">
        <v>619991</v>
      </c>
      <c r="M123" s="48">
        <v>2559116</v>
      </c>
      <c r="N123" s="48">
        <v>0</v>
      </c>
      <c r="O123" s="48">
        <v>0</v>
      </c>
      <c r="P123" s="48">
        <v>527217</v>
      </c>
      <c r="Q123" s="48">
        <v>0</v>
      </c>
      <c r="R123" s="10">
        <v>1402940</v>
      </c>
      <c r="S123" s="10">
        <v>354109</v>
      </c>
      <c r="T123" s="10">
        <v>4207</v>
      </c>
      <c r="U123" s="10">
        <v>0</v>
      </c>
      <c r="V123" s="10">
        <v>5855979</v>
      </c>
      <c r="W123" s="12">
        <v>4.65E-2</v>
      </c>
      <c r="X123" s="10">
        <v>0</v>
      </c>
      <c r="Y123" s="22">
        <f>373883/5851672</f>
        <v>6.3893362444101445E-2</v>
      </c>
      <c r="Z123" s="10">
        <v>373723</v>
      </c>
      <c r="AA123" s="10">
        <v>0</v>
      </c>
      <c r="AB123" s="10">
        <f>1988+180</f>
        <v>2168</v>
      </c>
      <c r="AC123" s="10">
        <v>112340</v>
      </c>
      <c r="AD123" s="10">
        <v>9216</v>
      </c>
      <c r="AE123" s="10">
        <v>15946</v>
      </c>
      <c r="AF123" s="10">
        <f>19200+2848</f>
        <v>22048</v>
      </c>
      <c r="AG123" s="10">
        <v>135</v>
      </c>
      <c r="AH123" s="10">
        <v>10438</v>
      </c>
      <c r="AI123" s="10">
        <v>0</v>
      </c>
      <c r="AJ123" s="10">
        <v>15099</v>
      </c>
      <c r="AK123" s="10">
        <f>4917+9312+7544</f>
        <v>21773</v>
      </c>
      <c r="AL123" s="10">
        <v>5323</v>
      </c>
      <c r="AM123" s="10">
        <v>520</v>
      </c>
      <c r="AN123" s="10">
        <v>4594</v>
      </c>
      <c r="AO123" s="10">
        <v>5560</v>
      </c>
      <c r="AP123" s="10">
        <v>243516</v>
      </c>
      <c r="AQ123" s="10">
        <v>267436</v>
      </c>
      <c r="AR123" s="12">
        <f t="shared" si="11"/>
        <v>2.2832175298543013E-2</v>
      </c>
      <c r="AS123" s="10">
        <v>0</v>
      </c>
      <c r="AT123" s="10">
        <v>0</v>
      </c>
      <c r="AU123" s="10">
        <v>139662</v>
      </c>
      <c r="AV123" s="10">
        <v>0</v>
      </c>
      <c r="AW123" s="10">
        <v>35098</v>
      </c>
      <c r="AX123" s="10">
        <v>0</v>
      </c>
      <c r="AY123" s="10">
        <v>0</v>
      </c>
      <c r="AZ123" s="10">
        <v>0</v>
      </c>
      <c r="BA123" s="10">
        <v>1225</v>
      </c>
      <c r="BB123" s="10">
        <v>531</v>
      </c>
      <c r="BC123" s="10">
        <v>0</v>
      </c>
      <c r="BD123" s="10">
        <f>7-1</f>
        <v>6</v>
      </c>
      <c r="BE123" s="10">
        <v>-99</v>
      </c>
      <c r="BF123" s="10">
        <v>-254</v>
      </c>
      <c r="BG123" s="10">
        <v>-136</v>
      </c>
      <c r="BH123" s="10">
        <v>-1</v>
      </c>
      <c r="BI123" s="10">
        <f t="shared" si="12"/>
        <v>1272</v>
      </c>
      <c r="BJ123" s="1">
        <v>1</v>
      </c>
      <c r="BK123" s="1">
        <v>79</v>
      </c>
      <c r="BL123" s="1">
        <v>17</v>
      </c>
      <c r="BM123" s="1">
        <v>37</v>
      </c>
      <c r="BN123" s="1">
        <v>3</v>
      </c>
      <c r="BO123" s="1">
        <v>4</v>
      </c>
      <c r="BP123" s="1" t="s">
        <v>453</v>
      </c>
      <c r="BQ123" s="1" t="s">
        <v>453</v>
      </c>
      <c r="BR123" s="1" t="s">
        <v>453</v>
      </c>
      <c r="BS123" s="1" t="s">
        <v>453</v>
      </c>
      <c r="BT123" s="1" t="s">
        <v>453</v>
      </c>
      <c r="BU123" s="1" t="s">
        <v>453</v>
      </c>
      <c r="BV123" s="1" t="s">
        <v>453</v>
      </c>
      <c r="BW123" s="1" t="s">
        <v>453</v>
      </c>
      <c r="BX123" s="1" t="s">
        <v>453</v>
      </c>
      <c r="BY123" s="1" t="s">
        <v>453</v>
      </c>
    </row>
    <row r="124" spans="1:77">
      <c r="A124" s="1">
        <v>11</v>
      </c>
      <c r="B124" s="1" t="s">
        <v>420</v>
      </c>
      <c r="C124" s="7" t="s">
        <v>392</v>
      </c>
      <c r="D124" s="1" t="s">
        <v>569</v>
      </c>
      <c r="E124" s="1" t="s">
        <v>309</v>
      </c>
      <c r="F124" s="7" t="s">
        <v>478</v>
      </c>
      <c r="G124" s="7" t="s">
        <v>310</v>
      </c>
      <c r="H124" s="10">
        <v>9126413</v>
      </c>
      <c r="I124" s="10">
        <v>9156433</v>
      </c>
      <c r="J124" s="10">
        <v>288727</v>
      </c>
      <c r="K124" s="48">
        <v>100380</v>
      </c>
      <c r="L124" s="48">
        <v>0</v>
      </c>
      <c r="M124" s="48">
        <v>4159055</v>
      </c>
      <c r="N124" s="48">
        <v>0</v>
      </c>
      <c r="O124" s="48">
        <v>0</v>
      </c>
      <c r="P124" s="48">
        <v>341478</v>
      </c>
      <c r="Q124" s="48">
        <v>0</v>
      </c>
      <c r="R124" s="10">
        <v>2704210</v>
      </c>
      <c r="S124" s="10">
        <v>686851</v>
      </c>
      <c r="T124" s="10">
        <v>0</v>
      </c>
      <c r="U124" s="10">
        <v>5892</v>
      </c>
      <c r="V124" s="10">
        <v>8663497</v>
      </c>
      <c r="W124" s="12">
        <v>6.4299999999999996E-2</v>
      </c>
      <c r="X124" s="10">
        <v>0</v>
      </c>
      <c r="Y124" s="22">
        <f>596177/8657605</f>
        <v>6.8861654002463732E-2</v>
      </c>
      <c r="Z124" s="10">
        <v>590706</v>
      </c>
      <c r="AA124" s="10">
        <v>0</v>
      </c>
      <c r="AB124" s="10">
        <f>30020+473</f>
        <v>30493</v>
      </c>
      <c r="AC124" s="10">
        <v>247776</v>
      </c>
      <c r="AD124" s="10">
        <v>20032</v>
      </c>
      <c r="AE124" s="10">
        <v>39168</v>
      </c>
      <c r="AF124" s="10">
        <v>37414</v>
      </c>
      <c r="AG124" s="10">
        <v>990</v>
      </c>
      <c r="AH124" s="10">
        <v>22520</v>
      </c>
      <c r="AI124" s="10">
        <v>2555</v>
      </c>
      <c r="AJ124" s="10">
        <v>18161</v>
      </c>
      <c r="AK124" s="10">
        <f>8118+7940+17438</f>
        <v>33496</v>
      </c>
      <c r="AL124" s="10">
        <v>4253</v>
      </c>
      <c r="AM124" s="10">
        <v>575</v>
      </c>
      <c r="AN124" s="10">
        <v>33285</v>
      </c>
      <c r="AO124" s="10">
        <v>0</v>
      </c>
      <c r="AP124" s="10">
        <v>488653</v>
      </c>
      <c r="AQ124" s="10">
        <v>507446</v>
      </c>
      <c r="AR124" s="12">
        <f t="shared" si="11"/>
        <v>0</v>
      </c>
      <c r="AS124" s="10">
        <v>7</v>
      </c>
      <c r="AT124" s="10">
        <v>0</v>
      </c>
      <c r="AU124" s="10">
        <v>139662</v>
      </c>
      <c r="AV124" s="10">
        <v>0</v>
      </c>
      <c r="AW124" s="10">
        <v>66972</v>
      </c>
      <c r="AX124" s="10">
        <v>0</v>
      </c>
      <c r="AY124" s="10">
        <v>0</v>
      </c>
      <c r="AZ124" s="10">
        <v>0</v>
      </c>
      <c r="BA124" s="10">
        <v>2051</v>
      </c>
      <c r="BB124" s="10">
        <v>985</v>
      </c>
      <c r="BC124" s="10">
        <v>42</v>
      </c>
      <c r="BD124" s="10">
        <v>15</v>
      </c>
      <c r="BE124" s="10">
        <v>-107</v>
      </c>
      <c r="BF124" s="10">
        <v>-379</v>
      </c>
      <c r="BG124" s="10">
        <v>-362</v>
      </c>
      <c r="BH124" s="10">
        <v>0</v>
      </c>
      <c r="BI124" s="10">
        <f t="shared" si="12"/>
        <v>2245</v>
      </c>
      <c r="BJ124" s="1">
        <v>0</v>
      </c>
      <c r="BK124" s="1">
        <v>114</v>
      </c>
      <c r="BL124" s="1">
        <v>38</v>
      </c>
      <c r="BM124" s="1">
        <v>181</v>
      </c>
      <c r="BN124" s="1">
        <v>5</v>
      </c>
      <c r="BO124" s="1">
        <v>8</v>
      </c>
      <c r="BP124" s="1" t="s">
        <v>453</v>
      </c>
      <c r="BQ124" s="1" t="s">
        <v>453</v>
      </c>
      <c r="BR124" s="1" t="s">
        <v>453</v>
      </c>
      <c r="BS124" s="1" t="s">
        <v>453</v>
      </c>
      <c r="BT124" s="1" t="s">
        <v>453</v>
      </c>
      <c r="BU124" s="1" t="s">
        <v>453</v>
      </c>
      <c r="BV124" s="1" t="s">
        <v>453</v>
      </c>
      <c r="BW124" s="1" t="s">
        <v>453</v>
      </c>
      <c r="BX124" s="1" t="s">
        <v>453</v>
      </c>
      <c r="BY124" s="1" t="s">
        <v>453</v>
      </c>
    </row>
    <row r="125" spans="1:77">
      <c r="A125" s="31">
        <v>11</v>
      </c>
      <c r="B125" s="7" t="s">
        <v>625</v>
      </c>
      <c r="C125" s="7" t="s">
        <v>263</v>
      </c>
      <c r="D125" s="7" t="s">
        <v>381</v>
      </c>
      <c r="E125" s="7" t="s">
        <v>309</v>
      </c>
      <c r="F125" s="7" t="s">
        <v>478</v>
      </c>
      <c r="G125" s="7" t="s">
        <v>310</v>
      </c>
      <c r="H125" s="10">
        <v>20368801</v>
      </c>
      <c r="I125" s="10">
        <v>20445971</v>
      </c>
      <c r="J125" s="10">
        <v>1188979</v>
      </c>
      <c r="K125" s="48">
        <v>0</v>
      </c>
      <c r="L125" s="48">
        <v>0</v>
      </c>
      <c r="M125" s="48">
        <v>0</v>
      </c>
      <c r="N125" s="48">
        <v>10184571</v>
      </c>
      <c r="O125" s="48">
        <v>0</v>
      </c>
      <c r="P125" s="48">
        <v>0</v>
      </c>
      <c r="Q125" s="48">
        <v>900221</v>
      </c>
      <c r="R125" s="10">
        <v>4787454</v>
      </c>
      <c r="S125" s="10">
        <v>1156111</v>
      </c>
      <c r="T125" s="10">
        <v>0</v>
      </c>
      <c r="U125" s="10">
        <v>0</v>
      </c>
      <c r="V125" s="10">
        <v>18249763</v>
      </c>
      <c r="W125" s="12">
        <v>0.11</v>
      </c>
      <c r="X125" s="10">
        <v>0</v>
      </c>
      <c r="Y125" s="22">
        <f>1078790/18105938</f>
        <v>5.9582110576099398E-2</v>
      </c>
      <c r="Z125" s="10">
        <v>1082535</v>
      </c>
      <c r="AA125" s="10">
        <v>0</v>
      </c>
      <c r="AB125" s="10">
        <f>77170+3970</f>
        <v>81140</v>
      </c>
      <c r="AC125" s="10">
        <v>458590</v>
      </c>
      <c r="AD125" s="10">
        <v>41203</v>
      </c>
      <c r="AE125" s="10">
        <v>99594</v>
      </c>
      <c r="AF125" s="10">
        <f>134714+3401</f>
        <v>138115</v>
      </c>
      <c r="AG125" s="10">
        <v>5032</v>
      </c>
      <c r="AH125" s="10">
        <v>24614</v>
      </c>
      <c r="AI125" s="10">
        <v>1561</v>
      </c>
      <c r="AJ125" s="10">
        <v>10519</v>
      </c>
      <c r="AK125" s="10">
        <f>23646+33863+37734</f>
        <v>95243</v>
      </c>
      <c r="AL125" s="10">
        <v>17512</v>
      </c>
      <c r="AM125" s="10">
        <v>0</v>
      </c>
      <c r="AN125" s="10">
        <v>191524</v>
      </c>
      <c r="AO125" s="10">
        <v>0</v>
      </c>
      <c r="AP125" s="10">
        <v>1159216</v>
      </c>
      <c r="AQ125" s="10">
        <v>1136613</v>
      </c>
      <c r="AR125" s="12">
        <f t="shared" si="11"/>
        <v>0</v>
      </c>
      <c r="AS125" s="10">
        <v>0</v>
      </c>
      <c r="AT125" s="10">
        <v>0</v>
      </c>
      <c r="AU125" s="10">
        <v>139662</v>
      </c>
      <c r="AV125" s="10">
        <v>0</v>
      </c>
      <c r="AW125" s="10">
        <v>143848</v>
      </c>
      <c r="AX125" s="10">
        <v>0</v>
      </c>
      <c r="AY125" s="10">
        <v>0</v>
      </c>
      <c r="AZ125" s="10">
        <v>0</v>
      </c>
      <c r="BA125" s="10">
        <v>3134</v>
      </c>
      <c r="BB125" s="10">
        <v>2001</v>
      </c>
      <c r="BC125" s="10">
        <v>0</v>
      </c>
      <c r="BD125" s="10">
        <f>30+7-1</f>
        <v>36</v>
      </c>
      <c r="BE125" s="10">
        <v>-217</v>
      </c>
      <c r="BF125" s="10">
        <v>-1185</v>
      </c>
      <c r="BG125" s="10">
        <v>-428</v>
      </c>
      <c r="BH125" s="10">
        <v>-3</v>
      </c>
      <c r="BI125" s="10">
        <f t="shared" si="12"/>
        <v>3338</v>
      </c>
      <c r="BJ125" s="1">
        <v>0</v>
      </c>
      <c r="BK125" s="1">
        <v>173</v>
      </c>
      <c r="BL125" s="1">
        <v>42</v>
      </c>
      <c r="BM125" s="1">
        <v>113</v>
      </c>
      <c r="BN125" s="1">
        <v>0</v>
      </c>
      <c r="BO125" s="1">
        <v>49</v>
      </c>
      <c r="BP125" s="1">
        <v>1</v>
      </c>
      <c r="BQ125" s="1">
        <v>3</v>
      </c>
      <c r="BR125" s="1">
        <v>22</v>
      </c>
      <c r="BS125" s="1">
        <v>92</v>
      </c>
      <c r="BT125" s="1">
        <v>9</v>
      </c>
      <c r="BU125" s="1">
        <v>9</v>
      </c>
      <c r="BV125" s="1">
        <v>21</v>
      </c>
      <c r="BW125" s="1">
        <v>87</v>
      </c>
      <c r="BX125" s="1">
        <v>411</v>
      </c>
      <c r="BY125" s="1">
        <v>76</v>
      </c>
    </row>
    <row r="126" spans="1:77">
      <c r="A126" s="31">
        <v>11</v>
      </c>
      <c r="B126" s="7" t="s">
        <v>678</v>
      </c>
      <c r="C126" s="7" t="s">
        <v>648</v>
      </c>
      <c r="D126" s="7" t="s">
        <v>128</v>
      </c>
      <c r="E126" s="7" t="s">
        <v>309</v>
      </c>
      <c r="F126" s="7" t="s">
        <v>478</v>
      </c>
      <c r="G126" s="7" t="s">
        <v>310</v>
      </c>
      <c r="H126" s="10"/>
      <c r="I126" s="10"/>
      <c r="J126" s="10"/>
      <c r="K126" s="48"/>
      <c r="L126" s="48"/>
      <c r="M126" s="48"/>
      <c r="N126" s="48"/>
      <c r="O126" s="48"/>
      <c r="P126" s="48"/>
      <c r="Q126" s="48"/>
      <c r="R126" s="10"/>
      <c r="S126" s="10"/>
      <c r="T126" s="10"/>
      <c r="U126" s="10"/>
      <c r="V126" s="10"/>
      <c r="W126" s="12"/>
      <c r="X126" s="10"/>
      <c r="Y126" s="22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2" t="e">
        <f t="shared" si="11"/>
        <v>#VALUE!</v>
      </c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>
        <f t="shared" si="12"/>
        <v>0</v>
      </c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</row>
    <row r="127" spans="1:77">
      <c r="A127" s="1">
        <v>12</v>
      </c>
      <c r="B127" s="1" t="s">
        <v>201</v>
      </c>
      <c r="C127" s="7" t="s">
        <v>689</v>
      </c>
      <c r="D127" s="1" t="s">
        <v>229</v>
      </c>
      <c r="E127" s="1" t="s">
        <v>460</v>
      </c>
      <c r="F127" s="7"/>
      <c r="G127" s="7" t="s">
        <v>476</v>
      </c>
      <c r="H127" s="10">
        <v>1137424</v>
      </c>
      <c r="I127" s="10">
        <v>1137664</v>
      </c>
      <c r="J127" s="10">
        <v>2998</v>
      </c>
      <c r="K127" s="48">
        <v>0</v>
      </c>
      <c r="L127" s="48">
        <v>1002</v>
      </c>
      <c r="M127" s="48">
        <v>0</v>
      </c>
      <c r="N127" s="48">
        <v>236130</v>
      </c>
      <c r="O127" s="48">
        <v>0</v>
      </c>
      <c r="P127" s="33">
        <v>0</v>
      </c>
      <c r="Q127" s="48">
        <v>92809</v>
      </c>
      <c r="R127" s="10">
        <v>606536</v>
      </c>
      <c r="S127" s="10">
        <v>54786</v>
      </c>
      <c r="T127" s="10">
        <v>0</v>
      </c>
      <c r="U127" s="10">
        <v>0</v>
      </c>
      <c r="V127" s="10">
        <v>1081697</v>
      </c>
      <c r="W127" s="12">
        <v>0.08</v>
      </c>
      <c r="X127" s="10">
        <v>0</v>
      </c>
      <c r="Y127" s="22">
        <f>90367/1081697</f>
        <v>8.3541879102928082E-2</v>
      </c>
      <c r="Z127" s="10">
        <v>90343</v>
      </c>
      <c r="AA127" s="10">
        <v>0</v>
      </c>
      <c r="AB127" s="10">
        <f>220+13+11</f>
        <v>244</v>
      </c>
      <c r="AC127" s="10">
        <v>0</v>
      </c>
      <c r="AD127" s="10">
        <v>0</v>
      </c>
      <c r="AE127" s="10">
        <v>0</v>
      </c>
      <c r="AF127" s="10">
        <v>1008</v>
      </c>
      <c r="AG127" s="10">
        <v>0</v>
      </c>
      <c r="AH127" s="10">
        <v>2809</v>
      </c>
      <c r="AI127" s="10">
        <v>17157</v>
      </c>
      <c r="AJ127" s="10">
        <v>0</v>
      </c>
      <c r="AK127" s="10">
        <f>456+3255</f>
        <v>3711</v>
      </c>
      <c r="AL127" s="10">
        <v>1317</v>
      </c>
      <c r="AM127" s="10">
        <v>600</v>
      </c>
      <c r="AN127" s="10"/>
      <c r="AO127" s="10">
        <v>21470</v>
      </c>
      <c r="AP127" s="10">
        <v>31159</v>
      </c>
      <c r="AQ127" s="10">
        <v>33244</v>
      </c>
      <c r="AR127" s="12">
        <f t="shared" si="11"/>
        <v>0.68904650341795304</v>
      </c>
      <c r="AS127" s="10">
        <v>0</v>
      </c>
      <c r="AT127" s="10">
        <v>0</v>
      </c>
      <c r="AU127" s="10">
        <v>56921</v>
      </c>
      <c r="AV127" s="10">
        <v>200</v>
      </c>
      <c r="AW127" s="10">
        <v>5527</v>
      </c>
      <c r="AX127" s="10">
        <v>230</v>
      </c>
      <c r="AY127" s="10">
        <v>430</v>
      </c>
      <c r="AZ127" s="10">
        <v>0</v>
      </c>
      <c r="BA127" s="10">
        <v>214</v>
      </c>
      <c r="BB127" s="10">
        <v>88</v>
      </c>
      <c r="BC127" s="10">
        <v>1</v>
      </c>
      <c r="BD127" s="10">
        <v>0</v>
      </c>
      <c r="BE127" s="10">
        <v>-13</v>
      </c>
      <c r="BF127" s="10">
        <v>-10</v>
      </c>
      <c r="BG127" s="10">
        <v>-32</v>
      </c>
      <c r="BH127" s="10">
        <v>0</v>
      </c>
      <c r="BI127" s="10">
        <f t="shared" si="12"/>
        <v>248</v>
      </c>
      <c r="BJ127" s="1">
        <v>0</v>
      </c>
      <c r="BK127" s="1">
        <v>3</v>
      </c>
      <c r="BL127" s="1">
        <v>5</v>
      </c>
      <c r="BM127" s="1">
        <v>24</v>
      </c>
      <c r="BN127" s="1">
        <v>0</v>
      </c>
      <c r="BO127" s="1">
        <v>0</v>
      </c>
      <c r="BP127" s="1" t="s">
        <v>453</v>
      </c>
      <c r="BQ127" s="1" t="s">
        <v>453</v>
      </c>
      <c r="BR127" s="1" t="s">
        <v>453</v>
      </c>
      <c r="BS127" s="1" t="s">
        <v>453</v>
      </c>
      <c r="BT127" s="1" t="s">
        <v>453</v>
      </c>
      <c r="BU127" s="1" t="s">
        <v>453</v>
      </c>
      <c r="BV127" s="1" t="s">
        <v>453</v>
      </c>
      <c r="BW127" s="1" t="s">
        <v>453</v>
      </c>
      <c r="BX127" s="1" t="s">
        <v>453</v>
      </c>
      <c r="BY127" s="1" t="s">
        <v>453</v>
      </c>
    </row>
    <row r="128" spans="1:77">
      <c r="A128" s="1">
        <v>12</v>
      </c>
      <c r="B128" s="1" t="s">
        <v>203</v>
      </c>
      <c r="C128" s="7" t="s">
        <v>113</v>
      </c>
      <c r="D128" s="1" t="s">
        <v>688</v>
      </c>
      <c r="E128" s="1" t="s">
        <v>306</v>
      </c>
      <c r="F128" s="7" t="s">
        <v>478</v>
      </c>
      <c r="G128" s="7" t="s">
        <v>317</v>
      </c>
      <c r="H128" s="10">
        <v>1302059</v>
      </c>
      <c r="I128" s="10">
        <v>1306393</v>
      </c>
      <c r="J128" s="10">
        <v>59970</v>
      </c>
      <c r="K128" s="48">
        <v>0</v>
      </c>
      <c r="L128" s="48">
        <v>0</v>
      </c>
      <c r="M128" s="48">
        <v>0</v>
      </c>
      <c r="N128" s="48">
        <v>248648</v>
      </c>
      <c r="O128" s="48">
        <v>0</v>
      </c>
      <c r="P128" s="48">
        <v>198608</v>
      </c>
      <c r="Q128" s="48">
        <v>0</v>
      </c>
      <c r="R128" s="10">
        <v>634247</v>
      </c>
      <c r="S128" s="10">
        <v>82426</v>
      </c>
      <c r="T128" s="10">
        <v>0</v>
      </c>
      <c r="U128" s="10">
        <v>0</v>
      </c>
      <c r="V128" s="10">
        <v>1285916</v>
      </c>
      <c r="W128" s="12">
        <v>8.9499999999999996E-2</v>
      </c>
      <c r="X128" s="10">
        <v>0</v>
      </c>
      <c r="Y128" s="22">
        <f>116674/1283416</f>
        <v>9.0908949241711182E-2</v>
      </c>
      <c r="Z128" s="10">
        <v>116729</v>
      </c>
      <c r="AA128" s="10">
        <v>25000</v>
      </c>
      <c r="AB128" s="10">
        <f>934+90+18</f>
        <v>1042</v>
      </c>
      <c r="AC128" s="10">
        <v>33909</v>
      </c>
      <c r="AD128" s="10">
        <v>2799</v>
      </c>
      <c r="AE128" s="10">
        <v>3405</v>
      </c>
      <c r="AF128" s="10">
        <v>7502</v>
      </c>
      <c r="AG128" s="10">
        <v>0</v>
      </c>
      <c r="AH128" s="10">
        <v>3609</v>
      </c>
      <c r="AI128" s="10">
        <v>480</v>
      </c>
      <c r="AJ128" s="10">
        <v>0</v>
      </c>
      <c r="AK128" s="10">
        <f>2542+4642+3967</f>
        <v>11151</v>
      </c>
      <c r="AL128" s="10">
        <v>5175</v>
      </c>
      <c r="AM128" s="10">
        <v>0</v>
      </c>
      <c r="AN128" s="10">
        <v>740</v>
      </c>
      <c r="AO128" s="10">
        <v>74077</v>
      </c>
      <c r="AP128" s="10">
        <v>85113</v>
      </c>
      <c r="AQ128" s="10">
        <v>100829</v>
      </c>
      <c r="AR128" s="12">
        <f t="shared" si="11"/>
        <v>0.87033708129192955</v>
      </c>
      <c r="AS128" s="10">
        <v>0</v>
      </c>
      <c r="AT128" s="10">
        <v>0</v>
      </c>
      <c r="AU128" s="10">
        <v>34299</v>
      </c>
      <c r="AV128" s="10">
        <v>77</v>
      </c>
      <c r="AW128" s="10">
        <v>-77</v>
      </c>
      <c r="AX128" s="10">
        <v>0</v>
      </c>
      <c r="AY128" s="10">
        <v>0</v>
      </c>
      <c r="AZ128" s="10">
        <v>0</v>
      </c>
      <c r="BA128" s="10">
        <v>309</v>
      </c>
      <c r="BB128" s="10">
        <v>131</v>
      </c>
      <c r="BC128" s="10">
        <v>1</v>
      </c>
      <c r="BD128" s="10">
        <v>-2</v>
      </c>
      <c r="BE128" s="10">
        <v>-42</v>
      </c>
      <c r="BF128" s="10">
        <v>-42</v>
      </c>
      <c r="BG128" s="10">
        <v>-83</v>
      </c>
      <c r="BH128" s="10">
        <v>0</v>
      </c>
      <c r="BI128" s="10">
        <f t="shared" si="12"/>
        <v>272</v>
      </c>
      <c r="BJ128" s="1">
        <v>0</v>
      </c>
      <c r="BK128" s="1">
        <v>14</v>
      </c>
      <c r="BL128" s="1">
        <v>4</v>
      </c>
      <c r="BM128" s="1">
        <v>60</v>
      </c>
      <c r="BN128" s="1">
        <v>2</v>
      </c>
      <c r="BO128" s="1">
        <v>3</v>
      </c>
      <c r="BP128" s="1" t="s">
        <v>453</v>
      </c>
      <c r="BQ128" s="1" t="s">
        <v>453</v>
      </c>
      <c r="BR128" s="1" t="s">
        <v>453</v>
      </c>
      <c r="BS128" s="1" t="s">
        <v>453</v>
      </c>
      <c r="BT128" s="1" t="s">
        <v>453</v>
      </c>
      <c r="BU128" s="1" t="s">
        <v>453</v>
      </c>
      <c r="BV128" s="1" t="s">
        <v>453</v>
      </c>
      <c r="BW128" s="1" t="s">
        <v>453</v>
      </c>
      <c r="BX128" s="1" t="s">
        <v>453</v>
      </c>
      <c r="BY128" s="1" t="s">
        <v>453</v>
      </c>
    </row>
    <row r="129" spans="1:77">
      <c r="A129" s="1">
        <v>12</v>
      </c>
      <c r="B129" s="1" t="s">
        <v>230</v>
      </c>
      <c r="C129" s="7" t="s">
        <v>424</v>
      </c>
      <c r="D129" s="1" t="s">
        <v>65</v>
      </c>
      <c r="E129" s="1" t="s">
        <v>438</v>
      </c>
      <c r="F129" s="7"/>
      <c r="G129" s="7" t="s">
        <v>433</v>
      </c>
      <c r="H129" s="10">
        <v>409940</v>
      </c>
      <c r="I129" s="10">
        <v>410056</v>
      </c>
      <c r="J129" s="10">
        <v>9173</v>
      </c>
      <c r="K129" s="48">
        <v>4367</v>
      </c>
      <c r="L129" s="48">
        <v>5129</v>
      </c>
      <c r="M129" s="48">
        <v>0</v>
      </c>
      <c r="N129" s="48">
        <v>107173</v>
      </c>
      <c r="O129" s="48">
        <v>3717</v>
      </c>
      <c r="P129" s="48">
        <v>75650</v>
      </c>
      <c r="Q129" s="48">
        <v>0</v>
      </c>
      <c r="R129" s="10">
        <v>154285</v>
      </c>
      <c r="S129" s="10">
        <v>16268</v>
      </c>
      <c r="T129" s="10">
        <v>0</v>
      </c>
      <c r="U129" s="10">
        <v>0</v>
      </c>
      <c r="V129" s="10">
        <v>403241</v>
      </c>
      <c r="W129" s="12">
        <v>0.71464000000000005</v>
      </c>
      <c r="X129" s="10">
        <v>0</v>
      </c>
      <c r="Y129" s="22">
        <f>36659/366589</f>
        <v>0.10000027278505356</v>
      </c>
      <c r="Z129" s="10">
        <v>36652</v>
      </c>
      <c r="AA129" s="10">
        <v>0</v>
      </c>
      <c r="AB129" s="10">
        <f>107+14</f>
        <v>121</v>
      </c>
      <c r="AC129" s="10">
        <v>8024</v>
      </c>
      <c r="AD129" s="10">
        <v>0</v>
      </c>
      <c r="AE129" s="10">
        <v>0</v>
      </c>
      <c r="AF129" s="10">
        <v>1680</v>
      </c>
      <c r="AG129" s="10">
        <v>0</v>
      </c>
      <c r="AH129" s="10">
        <v>1402</v>
      </c>
      <c r="AI129" s="10">
        <v>1206</v>
      </c>
      <c r="AJ129" s="10">
        <v>0</v>
      </c>
      <c r="AK129" s="10">
        <f>210+1078+1812</f>
        <v>3100</v>
      </c>
      <c r="AL129" s="10">
        <v>973</v>
      </c>
      <c r="AM129" s="10">
        <v>600</v>
      </c>
      <c r="AN129" s="10">
        <v>0</v>
      </c>
      <c r="AO129" s="10">
        <v>14995</v>
      </c>
      <c r="AP129" s="10">
        <v>18263</v>
      </c>
      <c r="AQ129" s="10">
        <v>28028</v>
      </c>
      <c r="AR129" s="12">
        <f t="shared" si="11"/>
        <v>0.82105897169139785</v>
      </c>
      <c r="AS129" s="10">
        <v>0</v>
      </c>
      <c r="AT129" s="10">
        <v>0</v>
      </c>
      <c r="AU129" s="10">
        <v>18262</v>
      </c>
      <c r="AV129" s="10">
        <v>0</v>
      </c>
      <c r="AW129" s="10">
        <v>3329</v>
      </c>
      <c r="AX129" s="10">
        <v>224</v>
      </c>
      <c r="AY129" s="10">
        <v>224</v>
      </c>
      <c r="AZ129" s="10">
        <v>0</v>
      </c>
      <c r="BA129" s="10">
        <v>104</v>
      </c>
      <c r="BB129" s="10">
        <v>52</v>
      </c>
      <c r="BC129" s="10">
        <v>0</v>
      </c>
      <c r="BD129" s="10">
        <v>0</v>
      </c>
      <c r="BE129" s="10">
        <v>-9</v>
      </c>
      <c r="BF129" s="10">
        <v>-20</v>
      </c>
      <c r="BG129" s="10">
        <v>-19</v>
      </c>
      <c r="BH129" s="10">
        <v>0</v>
      </c>
      <c r="BI129" s="10">
        <f t="shared" si="12"/>
        <v>108</v>
      </c>
      <c r="BJ129" s="1">
        <v>0</v>
      </c>
      <c r="BK129" s="1">
        <v>2</v>
      </c>
      <c r="BL129" s="1">
        <v>1</v>
      </c>
      <c r="BM129" s="1">
        <v>14</v>
      </c>
      <c r="BN129" s="1">
        <v>1</v>
      </c>
      <c r="BO129" s="1">
        <v>1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</row>
    <row r="130" spans="1:77">
      <c r="A130" s="1">
        <v>12</v>
      </c>
      <c r="B130" s="1" t="s">
        <v>349</v>
      </c>
      <c r="C130" s="7" t="s">
        <v>327</v>
      </c>
      <c r="D130" s="1" t="s">
        <v>432</v>
      </c>
      <c r="E130" s="1" t="s">
        <v>438</v>
      </c>
      <c r="F130" s="7"/>
      <c r="G130" s="7" t="s">
        <v>433</v>
      </c>
      <c r="H130" s="10">
        <v>37082500</v>
      </c>
      <c r="I130" s="10">
        <v>37277448</v>
      </c>
      <c r="J130" s="10">
        <v>463685</v>
      </c>
      <c r="K130" s="48">
        <v>0</v>
      </c>
      <c r="L130" s="48">
        <v>0</v>
      </c>
      <c r="M130" s="48">
        <v>0</v>
      </c>
      <c r="N130" s="48">
        <v>12710429</v>
      </c>
      <c r="O130" s="48">
        <v>0</v>
      </c>
      <c r="P130" s="48">
        <v>0</v>
      </c>
      <c r="Q130" s="48">
        <v>6908241</v>
      </c>
      <c r="R130" s="10">
        <v>14252298</v>
      </c>
      <c r="S130" s="10">
        <v>1981413</v>
      </c>
      <c r="T130" s="10">
        <v>150</v>
      </c>
      <c r="U130" s="10">
        <v>0</v>
      </c>
      <c r="V130" s="10">
        <v>36950274</v>
      </c>
      <c r="W130" s="12">
        <v>0.13650000000000001</v>
      </c>
      <c r="X130" s="10">
        <v>0</v>
      </c>
      <c r="Y130" s="22">
        <f>1357342/35590156</f>
        <v>3.8138130105414544E-2</v>
      </c>
      <c r="Z130" s="10">
        <v>1359968</v>
      </c>
      <c r="AA130" s="10">
        <v>0</v>
      </c>
      <c r="AB130" s="10">
        <f>179212+15140+8602</f>
        <v>202954</v>
      </c>
      <c r="AC130" s="10">
        <v>760775</v>
      </c>
      <c r="AD130" s="10">
        <v>63189</v>
      </c>
      <c r="AE130" s="10">
        <v>181195</v>
      </c>
      <c r="AF130" s="10">
        <v>143343</v>
      </c>
      <c r="AG130" s="10">
        <v>18775</v>
      </c>
      <c r="AH130" s="10">
        <v>3854</v>
      </c>
      <c r="AI130" s="10">
        <v>1059</v>
      </c>
      <c r="AJ130" s="10">
        <v>0</v>
      </c>
      <c r="AK130" s="10">
        <f>37100+30028+42934</f>
        <v>110062</v>
      </c>
      <c r="AL130" s="10">
        <v>8728</v>
      </c>
      <c r="AM130" s="10">
        <v>22169</v>
      </c>
      <c r="AN130" s="10">
        <v>72177</v>
      </c>
      <c r="AO130" s="10">
        <v>0</v>
      </c>
      <c r="AP130" s="10">
        <v>1442015</v>
      </c>
      <c r="AQ130" s="10">
        <v>1459117</v>
      </c>
      <c r="AR130" s="12">
        <f t="shared" si="11"/>
        <v>0</v>
      </c>
      <c r="AS130" s="10">
        <v>0</v>
      </c>
      <c r="AT130" s="10">
        <v>0</v>
      </c>
      <c r="AU130" s="10">
        <v>139662</v>
      </c>
      <c r="AV130" s="10">
        <v>0</v>
      </c>
      <c r="AW130" s="10">
        <v>204206</v>
      </c>
      <c r="AX130" s="10">
        <v>0</v>
      </c>
      <c r="AY130" s="10">
        <v>0</v>
      </c>
      <c r="AZ130" s="10">
        <v>0</v>
      </c>
      <c r="BA130" s="10">
        <v>8880</v>
      </c>
      <c r="BB130" s="10">
        <v>3100</v>
      </c>
      <c r="BC130" s="10">
        <v>0</v>
      </c>
      <c r="BD130" s="10">
        <v>10</v>
      </c>
      <c r="BE130" s="10">
        <v>-405</v>
      </c>
      <c r="BF130" s="10">
        <v>-1813</v>
      </c>
      <c r="BG130" s="10">
        <v>-1625</v>
      </c>
      <c r="BH130" s="10">
        <v>0</v>
      </c>
      <c r="BI130" s="10">
        <f t="shared" si="12"/>
        <v>8147</v>
      </c>
      <c r="BJ130" s="1">
        <v>11</v>
      </c>
      <c r="BK130" s="1">
        <v>635</v>
      </c>
      <c r="BL130" s="1">
        <v>196</v>
      </c>
      <c r="BM130" s="1">
        <v>750</v>
      </c>
      <c r="BN130" s="1">
        <v>44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</row>
    <row r="131" spans="1:77">
      <c r="A131" s="1">
        <v>12</v>
      </c>
      <c r="B131" s="1" t="s">
        <v>685</v>
      </c>
      <c r="C131" s="7" t="s">
        <v>29</v>
      </c>
      <c r="D131" s="1" t="s">
        <v>185</v>
      </c>
      <c r="E131" s="1" t="s">
        <v>306</v>
      </c>
      <c r="F131" s="7" t="s">
        <v>617</v>
      </c>
      <c r="G131" s="7" t="s">
        <v>317</v>
      </c>
      <c r="H131" s="10">
        <v>5846448</v>
      </c>
      <c r="I131" s="10">
        <v>5857915</v>
      </c>
      <c r="J131" s="10">
        <v>105239</v>
      </c>
      <c r="K131" s="48">
        <v>7728</v>
      </c>
      <c r="L131" s="48">
        <v>0</v>
      </c>
      <c r="M131" s="48">
        <v>0</v>
      </c>
      <c r="N131" s="48">
        <v>2323320</v>
      </c>
      <c r="O131" s="48">
        <v>3600</v>
      </c>
      <c r="P131" s="48">
        <v>401176</v>
      </c>
      <c r="Q131" s="48">
        <v>0</v>
      </c>
      <c r="R131" s="10">
        <v>2382021</v>
      </c>
      <c r="S131" s="10">
        <v>290509</v>
      </c>
      <c r="T131" s="10">
        <v>0</v>
      </c>
      <c r="U131" s="10">
        <v>0</v>
      </c>
      <c r="V131" s="10">
        <v>5858029</v>
      </c>
      <c r="W131" s="12">
        <v>6.8000000000000005E-2</v>
      </c>
      <c r="X131" s="10"/>
      <c r="Y131" s="22">
        <f>411117/5409432</f>
        <v>7.6000031056865119E-2</v>
      </c>
      <c r="Z131" s="10">
        <v>411481</v>
      </c>
      <c r="AA131" s="10">
        <v>0</v>
      </c>
      <c r="AB131" s="10">
        <f>11257+714</f>
        <v>11971</v>
      </c>
      <c r="AC131" s="10">
        <v>162146</v>
      </c>
      <c r="AD131" s="10">
        <v>12606</v>
      </c>
      <c r="AE131" s="10">
        <v>28302</v>
      </c>
      <c r="AF131" s="10">
        <f>25539+818</f>
        <v>26357</v>
      </c>
      <c r="AG131" s="10">
        <v>0</v>
      </c>
      <c r="AH131" s="10">
        <v>1323</v>
      </c>
      <c r="AI131" s="10">
        <v>0</v>
      </c>
      <c r="AJ131" s="10">
        <v>0</v>
      </c>
      <c r="AK131" s="10">
        <f>5231+8500+5724</f>
        <v>19455</v>
      </c>
      <c r="AL131" s="10">
        <v>4796</v>
      </c>
      <c r="AM131" s="10">
        <v>4973</v>
      </c>
      <c r="AN131" s="10">
        <v>10142</v>
      </c>
      <c r="AO131" s="10">
        <v>0</v>
      </c>
      <c r="AP131" s="10">
        <v>287151</v>
      </c>
      <c r="AQ131" s="10">
        <v>282149</v>
      </c>
      <c r="AR131" s="12">
        <f t="shared" si="11"/>
        <v>0</v>
      </c>
      <c r="AS131" s="10">
        <v>203</v>
      </c>
      <c r="AT131" s="10">
        <v>0</v>
      </c>
      <c r="AU131" s="10">
        <v>139662</v>
      </c>
      <c r="AV131" s="10">
        <v>0</v>
      </c>
      <c r="AW131" s="10">
        <v>47206</v>
      </c>
      <c r="AX131" s="10">
        <v>0</v>
      </c>
      <c r="AY131" s="10">
        <v>0</v>
      </c>
      <c r="AZ131" s="10">
        <v>0</v>
      </c>
      <c r="BA131" s="10">
        <v>1148</v>
      </c>
      <c r="BB131" s="10">
        <v>410</v>
      </c>
      <c r="BC131" s="10">
        <v>2</v>
      </c>
      <c r="BD131" s="10">
        <v>24</v>
      </c>
      <c r="BE131" s="10">
        <v>-100</v>
      </c>
      <c r="BF131" s="10">
        <v>-167</v>
      </c>
      <c r="BG131" s="10">
        <v>-238</v>
      </c>
      <c r="BH131" s="10"/>
      <c r="BI131" s="10">
        <f t="shared" si="12"/>
        <v>1079</v>
      </c>
      <c r="BJ131" s="1">
        <v>1</v>
      </c>
      <c r="BK131" s="1">
        <v>108</v>
      </c>
      <c r="BL131" s="1">
        <v>25</v>
      </c>
      <c r="BM131" s="1">
        <v>101</v>
      </c>
      <c r="BN131" s="1">
        <v>4</v>
      </c>
      <c r="BO131" s="1"/>
      <c r="BP131" s="1" t="s">
        <v>453</v>
      </c>
      <c r="BQ131" s="1" t="s">
        <v>453</v>
      </c>
      <c r="BR131" s="1" t="s">
        <v>453</v>
      </c>
      <c r="BS131" s="1" t="s">
        <v>453</v>
      </c>
      <c r="BT131" s="1" t="s">
        <v>453</v>
      </c>
      <c r="BU131" s="1" t="s">
        <v>453</v>
      </c>
      <c r="BV131" s="1" t="s">
        <v>453</v>
      </c>
      <c r="BW131" s="1" t="s">
        <v>453</v>
      </c>
      <c r="BX131" s="1" t="s">
        <v>453</v>
      </c>
      <c r="BY131" s="1" t="s">
        <v>453</v>
      </c>
    </row>
    <row r="132" spans="1:77">
      <c r="A132" s="1">
        <v>12</v>
      </c>
      <c r="B132" s="1" t="s">
        <v>691</v>
      </c>
      <c r="C132" s="7" t="s">
        <v>163</v>
      </c>
      <c r="D132" s="1" t="s">
        <v>18</v>
      </c>
      <c r="E132" s="1" t="s">
        <v>598</v>
      </c>
      <c r="F132" s="7"/>
      <c r="G132" s="7" t="s">
        <v>616</v>
      </c>
      <c r="H132" s="10">
        <v>1884884</v>
      </c>
      <c r="I132" s="10">
        <v>1892130</v>
      </c>
      <c r="J132" s="10">
        <v>65036</v>
      </c>
      <c r="K132" s="48">
        <v>0</v>
      </c>
      <c r="L132" s="48">
        <v>343</v>
      </c>
      <c r="M132" s="48">
        <v>0</v>
      </c>
      <c r="N132" s="48">
        <v>645240</v>
      </c>
      <c r="O132" s="48">
        <v>0</v>
      </c>
      <c r="P132" s="48">
        <v>0</v>
      </c>
      <c r="Q132" s="48">
        <v>190672</v>
      </c>
      <c r="R132" s="10">
        <v>844754</v>
      </c>
      <c r="S132" s="10">
        <v>66161</v>
      </c>
      <c r="T132" s="10">
        <v>0</v>
      </c>
      <c r="U132" s="10">
        <v>0</v>
      </c>
      <c r="V132" s="10">
        <v>1913007</v>
      </c>
      <c r="W132" s="12">
        <v>8.77E-2</v>
      </c>
      <c r="X132" s="10">
        <v>0</v>
      </c>
      <c r="Y132" s="22">
        <f>160562/1747170</f>
        <v>9.1898327008819974E-2</v>
      </c>
      <c r="Z132" s="10">
        <v>160657</v>
      </c>
      <c r="AA132" s="10">
        <v>51800</v>
      </c>
      <c r="AB132" s="10">
        <f>1966+182+345</f>
        <v>2493</v>
      </c>
      <c r="AC132" s="10">
        <v>33957</v>
      </c>
      <c r="AD132" s="10">
        <v>0</v>
      </c>
      <c r="AE132" s="10">
        <v>0</v>
      </c>
      <c r="AF132" s="10">
        <f>8320+576</f>
        <v>8896</v>
      </c>
      <c r="AG132" s="10">
        <v>0</v>
      </c>
      <c r="AH132" s="10">
        <v>2463</v>
      </c>
      <c r="AI132" s="10">
        <v>3490</v>
      </c>
      <c r="AJ132" s="10">
        <v>0</v>
      </c>
      <c r="AK132" s="10">
        <f>3211+5326+5726</f>
        <v>14263</v>
      </c>
      <c r="AL132" s="10">
        <v>3006</v>
      </c>
      <c r="AM132" s="10">
        <v>666</v>
      </c>
      <c r="AN132" s="10">
        <v>1973</v>
      </c>
      <c r="AO132" s="10">
        <v>42277</v>
      </c>
      <c r="AP132" s="10">
        <v>78672</v>
      </c>
      <c r="AQ132" s="10">
        <v>76722</v>
      </c>
      <c r="AR132" s="12">
        <f t="shared" si="11"/>
        <v>0.53738305877567627</v>
      </c>
      <c r="AS132" s="10">
        <v>0</v>
      </c>
      <c r="AT132" s="10">
        <v>0</v>
      </c>
      <c r="AU132" s="10">
        <v>96332</v>
      </c>
      <c r="AV132" s="10">
        <v>2750</v>
      </c>
      <c r="AW132" s="10">
        <v>5810</v>
      </c>
      <c r="AX132" s="10">
        <v>0</v>
      </c>
      <c r="AY132" s="10">
        <v>0</v>
      </c>
      <c r="AZ132" s="10">
        <v>0</v>
      </c>
      <c r="BA132" s="10">
        <v>206</v>
      </c>
      <c r="BB132" s="10">
        <v>78</v>
      </c>
      <c r="BC132" s="10">
        <v>0</v>
      </c>
      <c r="BD132" s="10">
        <v>9</v>
      </c>
      <c r="BE132" s="10">
        <v>-16</v>
      </c>
      <c r="BF132" s="10">
        <v>-28</v>
      </c>
      <c r="BG132" s="10">
        <v>-70</v>
      </c>
      <c r="BH132" s="10">
        <v>0</v>
      </c>
      <c r="BI132" s="10">
        <f t="shared" si="12"/>
        <v>179</v>
      </c>
      <c r="BJ132" s="1">
        <v>39</v>
      </c>
      <c r="BK132" s="1">
        <v>19</v>
      </c>
      <c r="BL132" s="1">
        <v>8</v>
      </c>
      <c r="BM132" s="1">
        <v>45</v>
      </c>
      <c r="BN132" s="1">
        <v>10</v>
      </c>
      <c r="BO132" s="1"/>
      <c r="BP132" s="1" t="s">
        <v>453</v>
      </c>
      <c r="BQ132" s="1" t="s">
        <v>453</v>
      </c>
      <c r="BR132" s="1" t="s">
        <v>453</v>
      </c>
      <c r="BS132" s="1" t="s">
        <v>453</v>
      </c>
      <c r="BT132" s="1" t="s">
        <v>453</v>
      </c>
      <c r="BU132" s="1" t="s">
        <v>453</v>
      </c>
      <c r="BV132" s="1" t="s">
        <v>453</v>
      </c>
      <c r="BW132" s="1" t="s">
        <v>453</v>
      </c>
      <c r="BX132" s="1" t="s">
        <v>453</v>
      </c>
      <c r="BY132" s="1" t="s">
        <v>453</v>
      </c>
    </row>
    <row r="133" spans="1:77">
      <c r="A133" s="1">
        <v>13</v>
      </c>
      <c r="B133" s="1" t="s">
        <v>154</v>
      </c>
      <c r="C133" s="7" t="s">
        <v>168</v>
      </c>
      <c r="D133" s="1" t="s">
        <v>477</v>
      </c>
      <c r="E133" s="1" t="s">
        <v>47</v>
      </c>
      <c r="F133" s="7" t="s">
        <v>206</v>
      </c>
      <c r="G133" s="7" t="s">
        <v>49</v>
      </c>
      <c r="H133" s="10">
        <v>84400054</v>
      </c>
      <c r="I133" s="10">
        <v>84650449</v>
      </c>
      <c r="J133" s="10">
        <v>3196458</v>
      </c>
      <c r="K133" s="48">
        <v>23592265</v>
      </c>
      <c r="L133" s="48">
        <v>2408843</v>
      </c>
      <c r="M133" s="48">
        <v>32447020</v>
      </c>
      <c r="N133" s="48">
        <v>0</v>
      </c>
      <c r="O133" s="48">
        <v>30851</v>
      </c>
      <c r="P133" s="48">
        <v>5819575</v>
      </c>
      <c r="Q133" s="48">
        <v>0</v>
      </c>
      <c r="R133" s="10">
        <v>8445742</v>
      </c>
      <c r="S133" s="10">
        <v>5933625</v>
      </c>
      <c r="T133" s="10">
        <v>0</v>
      </c>
      <c r="U133" s="10">
        <v>0</v>
      </c>
      <c r="V133" s="10">
        <v>81380932</v>
      </c>
      <c r="W133" s="12">
        <v>0.04</v>
      </c>
      <c r="X133" s="10">
        <v>0</v>
      </c>
      <c r="Y133" s="22">
        <f>2452067/81355265</f>
        <v>3.014023738967601E-2</v>
      </c>
      <c r="Z133" s="10">
        <v>2451904</v>
      </c>
      <c r="AA133" s="10">
        <v>0</v>
      </c>
      <c r="AB133" s="10">
        <f>250395+3522</f>
        <v>253917</v>
      </c>
      <c r="AC133" s="10">
        <v>1610782</v>
      </c>
      <c r="AD133" s="10">
        <v>126928</v>
      </c>
      <c r="AE133" s="10">
        <v>292869</v>
      </c>
      <c r="AF133" s="10">
        <v>199325</v>
      </c>
      <c r="AG133" s="10">
        <v>3010</v>
      </c>
      <c r="AH133" s="10">
        <v>24041</v>
      </c>
      <c r="AI133" s="10">
        <v>648</v>
      </c>
      <c r="AJ133" s="10">
        <v>80266</v>
      </c>
      <c r="AK133" s="10">
        <f>24588+94637+51518</f>
        <v>170743</v>
      </c>
      <c r="AL133" s="10">
        <v>27679</v>
      </c>
      <c r="AM133" s="10">
        <v>3346</v>
      </c>
      <c r="AN133" s="10">
        <v>108108</v>
      </c>
      <c r="AO133" s="10">
        <v>0</v>
      </c>
      <c r="AP133" s="10">
        <v>2758097</v>
      </c>
      <c r="AQ133" s="10">
        <v>2774677</v>
      </c>
      <c r="AR133" s="12">
        <f t="shared" ref="AR133:AR164" si="13">AO133/AP133</f>
        <v>0</v>
      </c>
      <c r="AS133" s="10">
        <v>187</v>
      </c>
      <c r="AT133" s="10">
        <v>0</v>
      </c>
      <c r="AU133" s="10">
        <v>139662</v>
      </c>
      <c r="AV133" s="10">
        <v>0</v>
      </c>
      <c r="AW133" s="10">
        <v>365533</v>
      </c>
      <c r="AX133" s="10">
        <v>0</v>
      </c>
      <c r="AY133" s="10">
        <v>0</v>
      </c>
      <c r="AZ133" s="10">
        <v>0</v>
      </c>
      <c r="BA133" s="10">
        <v>16378</v>
      </c>
      <c r="BB133" s="10">
        <v>6997</v>
      </c>
      <c r="BC133" s="10"/>
      <c r="BD133" s="10">
        <f>5+68-2</f>
        <v>71</v>
      </c>
      <c r="BE133" s="10">
        <v>-624</v>
      </c>
      <c r="BF133" s="10">
        <v>-2644</v>
      </c>
      <c r="BG133" s="10">
        <v>-1729</v>
      </c>
      <c r="BH133" s="10">
        <v>-21</v>
      </c>
      <c r="BI133" s="10">
        <f t="shared" si="12"/>
        <v>18428</v>
      </c>
      <c r="BJ133" s="1">
        <v>87</v>
      </c>
      <c r="BK133" s="1">
        <v>303</v>
      </c>
      <c r="BL133" s="1">
        <v>148</v>
      </c>
      <c r="BM133" s="1">
        <v>1239</v>
      </c>
      <c r="BN133" s="1">
        <v>31</v>
      </c>
      <c r="BO133" s="1">
        <v>8</v>
      </c>
      <c r="BP133" s="1">
        <v>3</v>
      </c>
      <c r="BQ133" s="1">
        <v>9</v>
      </c>
      <c r="BR133" s="1">
        <v>82</v>
      </c>
      <c r="BS133" s="1">
        <v>399</v>
      </c>
      <c r="BT133" s="1">
        <v>0</v>
      </c>
      <c r="BU133" s="1">
        <v>20</v>
      </c>
      <c r="BV133" s="1">
        <v>14</v>
      </c>
      <c r="BW133" s="1">
        <v>1682</v>
      </c>
      <c r="BX133" s="1">
        <v>15</v>
      </c>
      <c r="BY133" s="1">
        <v>12</v>
      </c>
    </row>
    <row r="134" spans="1:77">
      <c r="A134" s="1">
        <v>13</v>
      </c>
      <c r="B134" s="1" t="s">
        <v>233</v>
      </c>
      <c r="C134" s="7" t="s">
        <v>560</v>
      </c>
      <c r="D134" s="1" t="s">
        <v>344</v>
      </c>
      <c r="E134" s="1" t="s">
        <v>439</v>
      </c>
      <c r="F134" s="7" t="s">
        <v>695</v>
      </c>
      <c r="G134" s="7" t="s">
        <v>437</v>
      </c>
      <c r="H134" s="10">
        <v>21487028</v>
      </c>
      <c r="I134" s="10">
        <v>21565368</v>
      </c>
      <c r="J134" s="10">
        <v>885452</v>
      </c>
      <c r="K134" s="48">
        <v>4152845</v>
      </c>
      <c r="L134" s="48">
        <v>1679320</v>
      </c>
      <c r="M134" s="48">
        <v>0</v>
      </c>
      <c r="N134" s="48">
        <v>6103410</v>
      </c>
      <c r="O134" s="48">
        <v>6540</v>
      </c>
      <c r="P134" s="48">
        <v>0</v>
      </c>
      <c r="Q134" s="48">
        <v>1560163</v>
      </c>
      <c r="R134" s="10">
        <v>5088482</v>
      </c>
      <c r="S134" s="10">
        <v>836042</v>
      </c>
      <c r="T134" s="10">
        <v>20702</v>
      </c>
      <c r="U134" s="10">
        <v>0</v>
      </c>
      <c r="V134" s="10">
        <v>20543459</v>
      </c>
      <c r="W134" s="12">
        <v>0.05</v>
      </c>
      <c r="X134" s="10">
        <v>3872621</v>
      </c>
      <c r="Y134" s="22">
        <f>1072047/16647890</f>
        <v>6.4395367821387578E-2</v>
      </c>
      <c r="Z134" s="10">
        <v>1072484</v>
      </c>
      <c r="AA134" s="10">
        <v>22691</v>
      </c>
      <c r="AB134" s="10">
        <f>76769+735</f>
        <v>77504</v>
      </c>
      <c r="AC134" s="10">
        <v>550234</v>
      </c>
      <c r="AD134" s="10">
        <v>43345</v>
      </c>
      <c r="AE134" s="10">
        <v>90241</v>
      </c>
      <c r="AF134" s="10">
        <v>64167</v>
      </c>
      <c r="AG134" s="10">
        <v>2971</v>
      </c>
      <c r="AH134" s="10">
        <v>18201</v>
      </c>
      <c r="AI134" s="10">
        <v>127</v>
      </c>
      <c r="AJ134" s="10">
        <v>0</v>
      </c>
      <c r="AK134" s="10">
        <f>20626+33183+29192</f>
        <v>83001</v>
      </c>
      <c r="AL134" s="10">
        <v>11673</v>
      </c>
      <c r="AM134" s="10">
        <v>1652</v>
      </c>
      <c r="AN134" s="10">
        <v>97581</v>
      </c>
      <c r="AO134" s="10">
        <v>142176</v>
      </c>
      <c r="AP134" s="10">
        <v>1034992</v>
      </c>
      <c r="AQ134" s="10">
        <v>1093298</v>
      </c>
      <c r="AR134" s="12">
        <f t="shared" si="13"/>
        <v>0.13736917773277474</v>
      </c>
      <c r="AS134" s="10">
        <v>3800</v>
      </c>
      <c r="AT134" s="10">
        <v>0</v>
      </c>
      <c r="AU134" s="10">
        <v>139662</v>
      </c>
      <c r="AV134" s="10">
        <v>0</v>
      </c>
      <c r="AW134" s="10">
        <v>112174</v>
      </c>
      <c r="AX134" s="10">
        <v>0</v>
      </c>
      <c r="AY134" s="10">
        <v>0</v>
      </c>
      <c r="AZ134" s="10">
        <v>0</v>
      </c>
      <c r="BA134" s="10">
        <v>3294</v>
      </c>
      <c r="BB134" s="10">
        <v>1817</v>
      </c>
      <c r="BC134" s="10">
        <v>0</v>
      </c>
      <c r="BD134" s="10">
        <f>47-4</f>
        <v>43</v>
      </c>
      <c r="BE134" s="10">
        <v>-189</v>
      </c>
      <c r="BF134" s="10">
        <v>-689</v>
      </c>
      <c r="BG134" s="10">
        <v>-405</v>
      </c>
      <c r="BH134" s="10">
        <v>-2</v>
      </c>
      <c r="BI134" s="10">
        <f t="shared" si="12"/>
        <v>3869</v>
      </c>
      <c r="BJ134" s="1">
        <v>1</v>
      </c>
      <c r="BK134" s="1">
        <v>93</v>
      </c>
      <c r="BL134" s="1">
        <v>52</v>
      </c>
      <c r="BM134" s="1">
        <v>218</v>
      </c>
      <c r="BN134" s="1">
        <v>30</v>
      </c>
      <c r="BO134" s="1">
        <v>8</v>
      </c>
      <c r="BP134" s="1">
        <v>1</v>
      </c>
      <c r="BQ134" s="1">
        <v>2</v>
      </c>
      <c r="BR134" s="1">
        <v>24</v>
      </c>
      <c r="BS134" s="1">
        <v>98</v>
      </c>
      <c r="BT134" s="1">
        <v>0</v>
      </c>
      <c r="BU134" s="1">
        <v>1</v>
      </c>
      <c r="BV134" s="1">
        <v>5</v>
      </c>
      <c r="BW134" s="1">
        <v>65</v>
      </c>
      <c r="BX134" s="1">
        <v>298</v>
      </c>
      <c r="BY134" s="1">
        <v>18</v>
      </c>
    </row>
    <row r="135" spans="1:77">
      <c r="A135" s="1">
        <v>13</v>
      </c>
      <c r="B135" s="1" t="s">
        <v>364</v>
      </c>
      <c r="C135" s="7" t="s">
        <v>333</v>
      </c>
      <c r="D135" s="1" t="s">
        <v>622</v>
      </c>
      <c r="E135" s="1" t="s">
        <v>439</v>
      </c>
      <c r="F135" s="7" t="s">
        <v>205</v>
      </c>
      <c r="G135" s="7" t="s">
        <v>437</v>
      </c>
      <c r="H135" s="10">
        <v>52459149</v>
      </c>
      <c r="I135" s="10">
        <v>52686213.539999999</v>
      </c>
      <c r="J135" s="10">
        <v>1182758</v>
      </c>
      <c r="K135" s="48">
        <v>3626337</v>
      </c>
      <c r="L135" s="48">
        <v>5281104</v>
      </c>
      <c r="M135" s="48">
        <v>20504499</v>
      </c>
      <c r="N135" s="48">
        <v>0</v>
      </c>
      <c r="O135" s="48">
        <v>8850</v>
      </c>
      <c r="P135" s="48">
        <v>2859864</v>
      </c>
      <c r="Q135" s="48">
        <v>0</v>
      </c>
      <c r="R135" s="10">
        <v>13294164</v>
      </c>
      <c r="S135" s="10">
        <v>4170041</v>
      </c>
      <c r="T135" s="10">
        <v>30448</v>
      </c>
      <c r="U135" s="10">
        <v>0</v>
      </c>
      <c r="V135" s="10">
        <v>51242640</v>
      </c>
      <c r="W135" s="12">
        <v>5.4899999999999997E-2</v>
      </c>
      <c r="X135" s="10">
        <v>2579821</v>
      </c>
      <c r="Y135" s="22">
        <f>1449223/48295432</f>
        <v>3.0007454949362498E-2</v>
      </c>
      <c r="Z135" s="10">
        <v>1449223</v>
      </c>
      <c r="AA135" s="10">
        <v>0</v>
      </c>
      <c r="AB135" s="10">
        <f>227065+2101</f>
        <v>229166</v>
      </c>
      <c r="AC135" s="10">
        <v>824721</v>
      </c>
      <c r="AD135" s="10">
        <v>66527</v>
      </c>
      <c r="AE135" s="10">
        <v>218859</v>
      </c>
      <c r="AF135" s="10">
        <v>175579</v>
      </c>
      <c r="AG135" s="10">
        <v>2380</v>
      </c>
      <c r="AH135" s="10">
        <v>31252</v>
      </c>
      <c r="AI135" s="10">
        <v>603</v>
      </c>
      <c r="AJ135" s="10">
        <v>0</v>
      </c>
      <c r="AK135" s="10">
        <f>10960+58885+32024</f>
        <v>101869</v>
      </c>
      <c r="AL135" s="10">
        <v>11199</v>
      </c>
      <c r="AM135" s="10">
        <v>1455</v>
      </c>
      <c r="AN135" s="10">
        <v>44148</v>
      </c>
      <c r="AO135" s="10">
        <v>79047</v>
      </c>
      <c r="AP135" s="10">
        <v>1542084</v>
      </c>
      <c r="AQ135" s="10">
        <v>1625457</v>
      </c>
      <c r="AR135" s="12">
        <f t="shared" si="13"/>
        <v>5.1259853548833917E-2</v>
      </c>
      <c r="AS135" s="10">
        <v>0</v>
      </c>
      <c r="AT135" s="10">
        <v>0</v>
      </c>
      <c r="AU135" s="10">
        <v>139662</v>
      </c>
      <c r="AV135" s="10">
        <v>0</v>
      </c>
      <c r="AW135" s="10">
        <v>186134</v>
      </c>
      <c r="AX135" s="10">
        <v>0</v>
      </c>
      <c r="AY135" s="10">
        <v>0</v>
      </c>
      <c r="AZ135" s="10">
        <v>0</v>
      </c>
      <c r="BA135" s="10">
        <v>9820</v>
      </c>
      <c r="BB135" s="10">
        <v>5679</v>
      </c>
      <c r="BC135" s="10">
        <v>0</v>
      </c>
      <c r="BD135" s="10">
        <f>58-5+77</f>
        <v>130</v>
      </c>
      <c r="BE135" s="10">
        <v>-483</v>
      </c>
      <c r="BF135" s="10">
        <v>-3330</v>
      </c>
      <c r="BG135" s="10">
        <v>-1058</v>
      </c>
      <c r="BH135" s="10">
        <v>-10</v>
      </c>
      <c r="BI135" s="10">
        <f t="shared" si="12"/>
        <v>10748</v>
      </c>
      <c r="BJ135" s="1">
        <v>44</v>
      </c>
      <c r="BK135" s="1">
        <v>365</v>
      </c>
      <c r="BL135" s="1">
        <v>153</v>
      </c>
      <c r="BM135" s="1">
        <v>496</v>
      </c>
      <c r="BN135" s="1">
        <v>3</v>
      </c>
      <c r="BO135" s="1">
        <v>41</v>
      </c>
      <c r="BP135" s="1">
        <v>4</v>
      </c>
      <c r="BQ135" s="1">
        <v>1</v>
      </c>
      <c r="BR135" s="1">
        <v>62</v>
      </c>
      <c r="BS135" s="1">
        <v>306</v>
      </c>
      <c r="BT135" s="1">
        <v>2</v>
      </c>
      <c r="BU135" s="1">
        <v>26</v>
      </c>
      <c r="BV135" s="1">
        <v>30</v>
      </c>
      <c r="BW135" s="1">
        <v>170</v>
      </c>
      <c r="BX135" s="1">
        <v>1689</v>
      </c>
      <c r="BY135" s="1">
        <v>100</v>
      </c>
    </row>
    <row r="136" spans="1:77">
      <c r="A136" s="1">
        <v>13</v>
      </c>
      <c r="B136" s="1" t="s">
        <v>372</v>
      </c>
      <c r="C136" s="7" t="s">
        <v>346</v>
      </c>
      <c r="D136" s="1" t="s">
        <v>495</v>
      </c>
      <c r="E136" s="1" t="s">
        <v>461</v>
      </c>
      <c r="F136" s="7"/>
      <c r="G136" s="7" t="s">
        <v>463</v>
      </c>
      <c r="H136" s="10">
        <v>11341076</v>
      </c>
      <c r="I136" s="10">
        <v>11359856</v>
      </c>
      <c r="J136" s="10">
        <v>346863</v>
      </c>
      <c r="K136" s="48">
        <v>35079</v>
      </c>
      <c r="L136" s="48">
        <v>128554</v>
      </c>
      <c r="M136" s="48">
        <v>3740501</v>
      </c>
      <c r="N136" s="48">
        <v>828588</v>
      </c>
      <c r="O136" s="48">
        <v>0</v>
      </c>
      <c r="P136" s="48">
        <v>668030</v>
      </c>
      <c r="Q136" s="48">
        <v>150598</v>
      </c>
      <c r="R136" s="10">
        <v>3625478</v>
      </c>
      <c r="S136" s="10">
        <v>1139150</v>
      </c>
      <c r="T136" s="10">
        <v>6043</v>
      </c>
      <c r="U136" s="10">
        <v>0</v>
      </c>
      <c r="V136" s="10">
        <v>11133628</v>
      </c>
      <c r="W136" s="12">
        <v>0.08</v>
      </c>
      <c r="X136" s="10">
        <v>0</v>
      </c>
      <c r="Y136" s="22">
        <f>805441/11109534</f>
        <v>7.2499980647253076E-2</v>
      </c>
      <c r="Z136" s="10">
        <v>805091</v>
      </c>
      <c r="AA136" s="10">
        <v>0</v>
      </c>
      <c r="AB136" s="10">
        <f>18780+2521</f>
        <v>21301</v>
      </c>
      <c r="AC136" s="10">
        <v>301379</v>
      </c>
      <c r="AD136" s="10">
        <v>23675</v>
      </c>
      <c r="AE136" s="10">
        <v>41074</v>
      </c>
      <c r="AF136" s="10">
        <f>48987+1920</f>
        <v>50907</v>
      </c>
      <c r="AG136" s="10">
        <v>4965</v>
      </c>
      <c r="AH136" s="10">
        <v>27652</v>
      </c>
      <c r="AI136" s="10">
        <v>925</v>
      </c>
      <c r="AJ136" s="10">
        <v>0</v>
      </c>
      <c r="AK136" s="10">
        <f>10903+21923+27186</f>
        <v>60012</v>
      </c>
      <c r="AL136" s="10">
        <v>6613</v>
      </c>
      <c r="AM136" s="10">
        <v>0</v>
      </c>
      <c r="AN136" s="10">
        <v>90758</v>
      </c>
      <c r="AO136" s="10">
        <v>0</v>
      </c>
      <c r="AP136" s="10">
        <v>692422</v>
      </c>
      <c r="AQ136" s="10">
        <v>720774</v>
      </c>
      <c r="AR136" s="12">
        <f t="shared" si="13"/>
        <v>0</v>
      </c>
      <c r="AS136" s="10">
        <v>0</v>
      </c>
      <c r="AT136" s="10">
        <v>0</v>
      </c>
      <c r="AU136" s="10">
        <v>139662</v>
      </c>
      <c r="AV136" s="10">
        <v>0</v>
      </c>
      <c r="AW136" s="10">
        <v>86147</v>
      </c>
      <c r="AX136" s="10">
        <v>0</v>
      </c>
      <c r="AY136" s="10">
        <v>0</v>
      </c>
      <c r="AZ136" s="10">
        <v>0</v>
      </c>
      <c r="BA136" s="10">
        <v>2391</v>
      </c>
      <c r="BB136" s="10">
        <v>775</v>
      </c>
      <c r="BC136" s="10">
        <v>0</v>
      </c>
      <c r="BD136" s="10">
        <v>60</v>
      </c>
      <c r="BE136" s="10">
        <v>-139</v>
      </c>
      <c r="BF136" s="10">
        <v>-289</v>
      </c>
      <c r="BG136" s="10">
        <v>-470</v>
      </c>
      <c r="BH136" s="10">
        <v>-1</v>
      </c>
      <c r="BI136" s="10">
        <f t="shared" si="12"/>
        <v>2327</v>
      </c>
      <c r="BJ136" s="1">
        <v>4</v>
      </c>
      <c r="BK136" s="1">
        <v>101</v>
      </c>
      <c r="BL136" s="1">
        <v>30</v>
      </c>
      <c r="BM136" s="1">
        <v>284</v>
      </c>
      <c r="BN136" s="1">
        <v>47</v>
      </c>
      <c r="BO136" s="1">
        <v>8</v>
      </c>
      <c r="BP136" s="1" t="s">
        <v>453</v>
      </c>
      <c r="BQ136" s="1" t="s">
        <v>453</v>
      </c>
      <c r="BR136" s="1" t="s">
        <v>453</v>
      </c>
      <c r="BS136" s="1" t="s">
        <v>453</v>
      </c>
      <c r="BT136" s="1" t="s">
        <v>453</v>
      </c>
      <c r="BU136" s="1" t="s">
        <v>453</v>
      </c>
      <c r="BV136" s="1" t="s">
        <v>453</v>
      </c>
      <c r="BW136" s="1" t="s">
        <v>453</v>
      </c>
      <c r="BX136" s="1" t="s">
        <v>453</v>
      </c>
      <c r="BY136" s="1" t="s">
        <v>453</v>
      </c>
    </row>
    <row r="137" spans="1:77">
      <c r="A137" s="1">
        <v>14</v>
      </c>
      <c r="B137" s="1" t="s">
        <v>96</v>
      </c>
      <c r="C137" s="1" t="s">
        <v>580</v>
      </c>
      <c r="D137" s="1" t="s">
        <v>521</v>
      </c>
      <c r="E137" s="7" t="s">
        <v>57</v>
      </c>
      <c r="F137" s="7"/>
      <c r="G137" s="7" t="s">
        <v>48</v>
      </c>
      <c r="H137" s="10">
        <v>15686751</v>
      </c>
      <c r="I137" s="10">
        <v>15748873</v>
      </c>
      <c r="J137" s="10">
        <v>1288961</v>
      </c>
      <c r="K137" s="48">
        <v>0</v>
      </c>
      <c r="L137" s="48">
        <v>1698284</v>
      </c>
      <c r="M137" s="48">
        <v>0</v>
      </c>
      <c r="N137" s="48">
        <v>5118290</v>
      </c>
      <c r="O137" s="48">
        <v>0</v>
      </c>
      <c r="P137" s="48">
        <v>0</v>
      </c>
      <c r="Q137" s="48">
        <v>2027609</v>
      </c>
      <c r="R137" s="10">
        <v>2948757</v>
      </c>
      <c r="S137" s="10">
        <v>1677703</v>
      </c>
      <c r="T137" s="10">
        <v>54634</v>
      </c>
      <c r="U137" s="10">
        <v>0</v>
      </c>
      <c r="V137" s="10">
        <v>14423891</v>
      </c>
      <c r="W137" s="12">
        <v>0.15</v>
      </c>
      <c r="X137" s="10">
        <v>0</v>
      </c>
      <c r="Y137" s="22">
        <f>885847/14369257</f>
        <v>6.1648768617611892E-2</v>
      </c>
      <c r="Z137" s="10">
        <v>898942</v>
      </c>
      <c r="AA137" s="10">
        <v>0</v>
      </c>
      <c r="AB137" s="10">
        <f>62122+13</f>
        <v>62135</v>
      </c>
      <c r="AC137" s="10">
        <v>421239</v>
      </c>
      <c r="AD137" s="10">
        <v>33217</v>
      </c>
      <c r="AE137" s="10">
        <v>54770</v>
      </c>
      <c r="AF137" s="10">
        <v>91846</v>
      </c>
      <c r="AG137" s="10">
        <v>7380</v>
      </c>
      <c r="AH137" s="10">
        <v>27300</v>
      </c>
      <c r="AI137" s="10">
        <v>2600</v>
      </c>
      <c r="AJ137" s="10">
        <v>0</v>
      </c>
      <c r="AK137" s="10">
        <f>11851+17414+21391</f>
        <v>50656</v>
      </c>
      <c r="AL137" s="10">
        <v>6271</v>
      </c>
      <c r="AM137" s="10">
        <v>4746</v>
      </c>
      <c r="AN137" s="10">
        <v>9192</v>
      </c>
      <c r="AO137" s="10">
        <v>0</v>
      </c>
      <c r="AP137" s="10">
        <v>819677</v>
      </c>
      <c r="AQ137" s="10">
        <v>827021</v>
      </c>
      <c r="AR137" s="12">
        <f t="shared" si="13"/>
        <v>0</v>
      </c>
      <c r="AS137" s="10">
        <v>0</v>
      </c>
      <c r="AT137" s="10">
        <v>0</v>
      </c>
      <c r="AU137" s="10">
        <v>139662</v>
      </c>
      <c r="AV137" s="10">
        <v>0</v>
      </c>
      <c r="AW137" s="10">
        <v>121455</v>
      </c>
      <c r="AX137" s="10">
        <v>0</v>
      </c>
      <c r="AY137" s="10">
        <v>0</v>
      </c>
      <c r="AZ137" s="10">
        <v>0</v>
      </c>
      <c r="BA137" s="10">
        <v>3368</v>
      </c>
      <c r="BB137" s="10">
        <v>1586</v>
      </c>
      <c r="BC137" s="10">
        <v>0</v>
      </c>
      <c r="BD137" s="10">
        <v>-9</v>
      </c>
      <c r="BE137" s="10">
        <v>-240</v>
      </c>
      <c r="BF137" s="10">
        <v>-1026</v>
      </c>
      <c r="BG137" s="10">
        <v>-526</v>
      </c>
      <c r="BH137" s="10">
        <v>-2</v>
      </c>
      <c r="BI137" s="10">
        <f t="shared" si="12"/>
        <v>3151</v>
      </c>
      <c r="BJ137" s="1">
        <v>11</v>
      </c>
      <c r="BK137" s="1">
        <v>56</v>
      </c>
      <c r="BL137" s="1">
        <v>43</v>
      </c>
      <c r="BM137" s="1">
        <v>412</v>
      </c>
      <c r="BN137" s="1">
        <v>3</v>
      </c>
      <c r="BO137" s="1">
        <v>13</v>
      </c>
      <c r="BP137" s="1">
        <v>0</v>
      </c>
      <c r="BQ137" s="1">
        <v>1</v>
      </c>
      <c r="BR137" s="1">
        <v>11</v>
      </c>
      <c r="BS137" s="1">
        <v>69</v>
      </c>
      <c r="BT137" s="1">
        <v>0</v>
      </c>
      <c r="BU137" s="1">
        <v>0</v>
      </c>
      <c r="BV137" s="1">
        <v>1</v>
      </c>
      <c r="BW137" s="1">
        <v>22</v>
      </c>
      <c r="BX137" s="1">
        <v>205</v>
      </c>
      <c r="BY137" s="1">
        <v>11</v>
      </c>
    </row>
    <row r="138" spans="1:77">
      <c r="A138" s="1">
        <v>14</v>
      </c>
      <c r="B138" s="1" t="s">
        <v>319</v>
      </c>
      <c r="C138" s="7" t="s">
        <v>404</v>
      </c>
      <c r="D138" s="1" t="s">
        <v>665</v>
      </c>
      <c r="E138" s="1" t="s">
        <v>57</v>
      </c>
      <c r="F138" s="1"/>
      <c r="G138" s="1" t="s">
        <v>48</v>
      </c>
      <c r="H138" s="10">
        <v>515848</v>
      </c>
      <c r="I138" s="10">
        <v>516181</v>
      </c>
      <c r="J138" s="10">
        <v>4315</v>
      </c>
      <c r="K138" s="48">
        <v>0</v>
      </c>
      <c r="L138" s="48">
        <v>0</v>
      </c>
      <c r="M138" s="48">
        <v>0</v>
      </c>
      <c r="N138" s="48">
        <v>226834</v>
      </c>
      <c r="O138" s="48">
        <v>0</v>
      </c>
      <c r="P138" s="48">
        <v>0</v>
      </c>
      <c r="Q138" s="48">
        <v>112461</v>
      </c>
      <c r="R138" s="10">
        <v>158339</v>
      </c>
      <c r="S138" s="10">
        <v>0</v>
      </c>
      <c r="T138" s="10">
        <v>0</v>
      </c>
      <c r="U138" s="10">
        <v>0</v>
      </c>
      <c r="V138" s="10">
        <v>548885</v>
      </c>
      <c r="W138" s="12">
        <v>6.9999999999999999E-4</v>
      </c>
      <c r="X138" s="10">
        <v>0</v>
      </c>
      <c r="Y138" s="22">
        <f>49948/548885</f>
        <v>9.0999025296737937E-2</v>
      </c>
      <c r="Z138" s="10">
        <v>49946</v>
      </c>
      <c r="AA138" s="10">
        <v>0</v>
      </c>
      <c r="AB138" s="10">
        <f>333+43</f>
        <v>376</v>
      </c>
      <c r="AC138" s="10">
        <v>0</v>
      </c>
      <c r="AD138" s="10">
        <v>0</v>
      </c>
      <c r="AE138" s="10">
        <v>0</v>
      </c>
      <c r="AF138" s="10">
        <v>1964</v>
      </c>
      <c r="AG138" s="10">
        <v>0</v>
      </c>
      <c r="AH138" s="10">
        <v>3500</v>
      </c>
      <c r="AI138" s="10">
        <v>9510</v>
      </c>
      <c r="AJ138" s="10">
        <v>0</v>
      </c>
      <c r="AK138" s="10">
        <f>1266+749+602</f>
        <v>2617</v>
      </c>
      <c r="AL138" s="10"/>
      <c r="AM138" s="10"/>
      <c r="AN138" s="10"/>
      <c r="AO138" s="10">
        <v>0</v>
      </c>
      <c r="AP138" s="10">
        <v>29991</v>
      </c>
      <c r="AQ138" s="10">
        <v>34642</v>
      </c>
      <c r="AR138" s="12">
        <f t="shared" si="13"/>
        <v>0</v>
      </c>
      <c r="AS138" s="10">
        <v>0</v>
      </c>
      <c r="AT138" s="10">
        <v>0</v>
      </c>
      <c r="AU138" s="10">
        <v>23293</v>
      </c>
      <c r="AV138" s="10">
        <v>0</v>
      </c>
      <c r="AW138" s="10">
        <v>4628</v>
      </c>
      <c r="AX138" s="10">
        <v>0</v>
      </c>
      <c r="AY138" s="10">
        <v>0</v>
      </c>
      <c r="AZ138" s="10">
        <v>0</v>
      </c>
      <c r="BA138" s="10">
        <v>93</v>
      </c>
      <c r="BB138" s="10">
        <v>0</v>
      </c>
      <c r="BC138" s="10">
        <v>0</v>
      </c>
      <c r="BD138" s="10">
        <v>0</v>
      </c>
      <c r="BE138" s="10">
        <v>0</v>
      </c>
      <c r="BF138" s="10">
        <v>0</v>
      </c>
      <c r="BG138" s="10">
        <v>-74</v>
      </c>
      <c r="BH138" s="10">
        <v>0</v>
      </c>
      <c r="BI138" s="10">
        <f t="shared" si="12"/>
        <v>19</v>
      </c>
      <c r="BJ138" s="1">
        <v>0</v>
      </c>
      <c r="BK138" s="32">
        <v>0</v>
      </c>
      <c r="BL138" s="32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/>
    </row>
    <row r="139" spans="1:77">
      <c r="A139" s="1">
        <v>14</v>
      </c>
      <c r="B139" s="1" t="s">
        <v>353</v>
      </c>
      <c r="C139" s="1" t="s">
        <v>188</v>
      </c>
      <c r="D139" s="1" t="s">
        <v>665</v>
      </c>
      <c r="E139" s="7" t="s">
        <v>57</v>
      </c>
      <c r="F139" s="7"/>
      <c r="G139" s="7" t="s">
        <v>48</v>
      </c>
      <c r="H139" s="10">
        <v>7428319</v>
      </c>
      <c r="I139" s="10">
        <v>7566068</v>
      </c>
      <c r="J139" s="10">
        <v>491421</v>
      </c>
      <c r="K139" s="48">
        <v>0</v>
      </c>
      <c r="L139" s="48">
        <v>493293</v>
      </c>
      <c r="M139" s="48">
        <v>2033837</v>
      </c>
      <c r="N139" s="48">
        <v>0</v>
      </c>
      <c r="O139" s="48">
        <v>0</v>
      </c>
      <c r="P139" s="48">
        <v>823901</v>
      </c>
      <c r="Q139" s="48">
        <v>0</v>
      </c>
      <c r="R139" s="10">
        <v>2026079</v>
      </c>
      <c r="S139" s="10">
        <v>1259991</v>
      </c>
      <c r="T139" s="10">
        <v>21283</v>
      </c>
      <c r="U139" s="10">
        <v>0</v>
      </c>
      <c r="V139" s="10">
        <v>7196837</v>
      </c>
      <c r="W139" s="12">
        <v>3.2000000000000002E-3</v>
      </c>
      <c r="X139" s="10">
        <v>0</v>
      </c>
      <c r="Y139" s="22">
        <f>536645/7112786</f>
        <v>7.5447932779082627E-2</v>
      </c>
      <c r="Z139" s="10">
        <v>532385</v>
      </c>
      <c r="AA139" s="10">
        <v>0</v>
      </c>
      <c r="AB139" s="10">
        <f>85569+1391</f>
        <v>86960</v>
      </c>
      <c r="AC139" s="10">
        <v>237232</v>
      </c>
      <c r="AD139" s="10">
        <v>18693</v>
      </c>
      <c r="AE139" s="10">
        <v>22623</v>
      </c>
      <c r="AF139" s="10">
        <f>32316+3817</f>
        <v>36133</v>
      </c>
      <c r="AG139" s="10">
        <v>4926</v>
      </c>
      <c r="AH139" s="10">
        <v>27204</v>
      </c>
      <c r="AI139" s="10">
        <v>17349</v>
      </c>
      <c r="AJ139" s="10">
        <v>0</v>
      </c>
      <c r="AK139" s="10">
        <f>10496+12147+14643</f>
        <v>37286</v>
      </c>
      <c r="AL139" s="10">
        <v>7453</v>
      </c>
      <c r="AM139" s="10">
        <v>4366</v>
      </c>
      <c r="AN139" s="10">
        <v>25927</v>
      </c>
      <c r="AO139" s="10">
        <v>0</v>
      </c>
      <c r="AP139" s="10">
        <v>472718</v>
      </c>
      <c r="AQ139" s="10">
        <v>493563</v>
      </c>
      <c r="AR139" s="12">
        <f t="shared" si="13"/>
        <v>0</v>
      </c>
      <c r="AS139" s="10">
        <v>0</v>
      </c>
      <c r="AT139" s="10">
        <v>0</v>
      </c>
      <c r="AU139" s="10">
        <v>139274</v>
      </c>
      <c r="AV139" s="10">
        <v>0</v>
      </c>
      <c r="AW139" s="10">
        <v>50848</v>
      </c>
      <c r="AX139" s="10">
        <v>0</v>
      </c>
      <c r="AY139" s="10">
        <v>0</v>
      </c>
      <c r="AZ139" s="10">
        <v>0</v>
      </c>
      <c r="BA139" s="10">
        <v>2008</v>
      </c>
      <c r="BB139" s="10">
        <v>691</v>
      </c>
      <c r="BC139" s="10">
        <v>0</v>
      </c>
      <c r="BD139" s="10">
        <v>-1</v>
      </c>
      <c r="BE139" s="10">
        <v>-52</v>
      </c>
      <c r="BF139" s="10">
        <v>-440</v>
      </c>
      <c r="BG139" s="10">
        <v>-139</v>
      </c>
      <c r="BH139" s="10">
        <v>-3</v>
      </c>
      <c r="BI139" s="10">
        <f t="shared" si="12"/>
        <v>2064</v>
      </c>
      <c r="BJ139" s="1">
        <v>0</v>
      </c>
      <c r="BK139" s="32">
        <v>4</v>
      </c>
      <c r="BL139" s="32">
        <v>4</v>
      </c>
      <c r="BM139" s="32">
        <v>32</v>
      </c>
      <c r="BN139" s="32">
        <v>2</v>
      </c>
      <c r="BO139" s="32">
        <v>0</v>
      </c>
      <c r="BP139" s="1" t="s">
        <v>453</v>
      </c>
      <c r="BQ139" s="1" t="s">
        <v>453</v>
      </c>
      <c r="BR139" s="1" t="s">
        <v>453</v>
      </c>
      <c r="BS139" s="1" t="s">
        <v>453</v>
      </c>
      <c r="BT139" s="1" t="s">
        <v>453</v>
      </c>
      <c r="BU139" s="1" t="s">
        <v>453</v>
      </c>
      <c r="BV139" s="1" t="s">
        <v>453</v>
      </c>
      <c r="BW139" s="1" t="s">
        <v>453</v>
      </c>
      <c r="BX139" s="1" t="s">
        <v>453</v>
      </c>
      <c r="BY139" s="1" t="s">
        <v>453</v>
      </c>
    </row>
    <row r="140" spans="1:77">
      <c r="A140" s="1">
        <v>14</v>
      </c>
      <c r="B140" s="1" t="s">
        <v>412</v>
      </c>
      <c r="C140" s="7" t="s">
        <v>540</v>
      </c>
      <c r="D140" s="1" t="s">
        <v>521</v>
      </c>
      <c r="E140" s="1" t="s">
        <v>57</v>
      </c>
      <c r="F140" s="1"/>
      <c r="G140" s="1" t="s">
        <v>48</v>
      </c>
      <c r="H140" s="10">
        <v>15217981</v>
      </c>
      <c r="I140" s="10">
        <v>15376912</v>
      </c>
      <c r="J140" s="10">
        <v>1074174</v>
      </c>
      <c r="K140" s="48">
        <v>0</v>
      </c>
      <c r="L140" s="48">
        <v>0</v>
      </c>
      <c r="M140" s="48">
        <v>0</v>
      </c>
      <c r="N140" s="48">
        <v>6288448</v>
      </c>
      <c r="O140" s="48">
        <v>0</v>
      </c>
      <c r="P140" s="48">
        <v>0</v>
      </c>
      <c r="Q140" s="48">
        <v>2033191</v>
      </c>
      <c r="R140" s="10">
        <v>3184776</v>
      </c>
      <c r="S140" s="10">
        <v>1543064</v>
      </c>
      <c r="T140" s="10">
        <v>67118</v>
      </c>
      <c r="U140" s="10">
        <v>0</v>
      </c>
      <c r="V140" s="10">
        <v>13996231</v>
      </c>
      <c r="W140" s="12">
        <v>0.21</v>
      </c>
      <c r="X140" s="10">
        <v>0</v>
      </c>
      <c r="Y140" s="22">
        <f>804603/13929113</f>
        <v>5.7764123243167029E-2</v>
      </c>
      <c r="Z140" s="10">
        <v>804327</v>
      </c>
      <c r="AA140" s="10">
        <v>0</v>
      </c>
      <c r="AB140" s="10">
        <f>147827+10521+4107</f>
        <v>162455</v>
      </c>
      <c r="AC140" s="10">
        <v>501875</v>
      </c>
      <c r="AD140" s="10">
        <v>39756</v>
      </c>
      <c r="AE140" s="10">
        <v>89173</v>
      </c>
      <c r="AF140" s="10">
        <v>78151</v>
      </c>
      <c r="AG140" s="10">
        <v>1476</v>
      </c>
      <c r="AH140" s="10">
        <v>30111</v>
      </c>
      <c r="AI140" s="10">
        <v>5242</v>
      </c>
      <c r="AJ140" s="10">
        <v>0</v>
      </c>
      <c r="AK140" s="10">
        <f>14092+21225+25309</f>
        <v>60626</v>
      </c>
      <c r="AL140" s="10">
        <v>9052</v>
      </c>
      <c r="AM140" s="10">
        <v>5491</v>
      </c>
      <c r="AN140" s="10">
        <v>3103</v>
      </c>
      <c r="AO140" s="10">
        <v>26827</v>
      </c>
      <c r="AP140" s="10">
        <v>899199</v>
      </c>
      <c r="AQ140" s="10">
        <v>950323</v>
      </c>
      <c r="AR140" s="12">
        <f t="shared" si="13"/>
        <v>2.9834330331773056E-2</v>
      </c>
      <c r="AS140" s="10">
        <v>0</v>
      </c>
      <c r="AT140" s="10">
        <v>0</v>
      </c>
      <c r="AU140" s="10">
        <v>139662</v>
      </c>
      <c r="AV140" s="10">
        <v>0</v>
      </c>
      <c r="AW140" s="10">
        <v>103016</v>
      </c>
      <c r="AX140" s="10">
        <v>0</v>
      </c>
      <c r="AY140" s="10">
        <v>0</v>
      </c>
      <c r="AZ140" s="10">
        <v>0</v>
      </c>
      <c r="BA140" s="10">
        <v>3507</v>
      </c>
      <c r="BB140" s="10">
        <v>1546</v>
      </c>
      <c r="BC140" s="3">
        <v>0</v>
      </c>
      <c r="BD140" s="10">
        <f>8-5</f>
        <v>3</v>
      </c>
      <c r="BE140" s="10">
        <v>-243</v>
      </c>
      <c r="BF140" s="10">
        <v>-1006</v>
      </c>
      <c r="BG140" s="10">
        <v>-716</v>
      </c>
      <c r="BH140" s="10">
        <v>0</v>
      </c>
      <c r="BI140" s="10">
        <f t="shared" ref="BI140:BI171" si="14">SUM(BA140:BH140)</f>
        <v>3091</v>
      </c>
      <c r="BJ140" s="1">
        <v>16</v>
      </c>
      <c r="BK140" s="1">
        <v>59</v>
      </c>
      <c r="BL140" s="1">
        <v>32</v>
      </c>
      <c r="BM140" s="1">
        <v>614</v>
      </c>
      <c r="BN140" s="1">
        <v>5</v>
      </c>
      <c r="BO140" s="1">
        <v>6</v>
      </c>
      <c r="BP140" s="1">
        <v>0</v>
      </c>
      <c r="BQ140" s="1">
        <v>0</v>
      </c>
      <c r="BR140" s="1">
        <v>2</v>
      </c>
      <c r="BS140" s="1">
        <v>56</v>
      </c>
      <c r="BT140" s="1">
        <v>185</v>
      </c>
      <c r="BU140" s="1">
        <v>0</v>
      </c>
      <c r="BV140" s="1">
        <v>1</v>
      </c>
      <c r="BW140" s="1">
        <v>13</v>
      </c>
      <c r="BX140" s="1">
        <v>233</v>
      </c>
      <c r="BY140" s="1">
        <v>759</v>
      </c>
    </row>
    <row r="141" spans="1:77">
      <c r="A141" s="1">
        <v>14</v>
      </c>
      <c r="B141" s="1" t="s">
        <v>610</v>
      </c>
      <c r="C141" s="7" t="s">
        <v>324</v>
      </c>
      <c r="D141" s="1" t="s">
        <v>720</v>
      </c>
      <c r="E141" s="1" t="s">
        <v>57</v>
      </c>
      <c r="F141" s="1"/>
      <c r="G141" s="1" t="s">
        <v>48</v>
      </c>
      <c r="H141" s="10"/>
      <c r="I141" s="10"/>
      <c r="J141" s="10"/>
      <c r="K141" s="48"/>
      <c r="L141" s="48"/>
      <c r="M141" s="48"/>
      <c r="N141" s="48"/>
      <c r="O141" s="48"/>
      <c r="P141" s="48"/>
      <c r="Q141" s="48"/>
      <c r="R141" s="10"/>
      <c r="S141" s="10"/>
      <c r="T141" s="10"/>
      <c r="U141" s="10"/>
      <c r="V141" s="10"/>
      <c r="W141" s="12"/>
      <c r="X141" s="10"/>
      <c r="Y141" s="22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2" t="e">
        <f t="shared" si="13"/>
        <v>#VALUE!</v>
      </c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>
        <f t="shared" si="14"/>
        <v>0</v>
      </c>
      <c r="BJ141" s="1"/>
      <c r="BK141" s="32"/>
      <c r="BL141" s="32"/>
      <c r="BM141" s="32"/>
      <c r="BN141" s="32"/>
      <c r="BO141" s="32"/>
      <c r="BP141" s="1"/>
      <c r="BQ141" s="1"/>
      <c r="BR141" s="1"/>
      <c r="BS141" s="1"/>
      <c r="BT141" s="1"/>
      <c r="BU141" s="1"/>
      <c r="BV141" s="1"/>
      <c r="BW141" s="1"/>
      <c r="BX141" s="1"/>
      <c r="BY141" s="1"/>
    </row>
    <row r="142" spans="1:77">
      <c r="A142" s="1">
        <v>15</v>
      </c>
      <c r="B142" s="1" t="s">
        <v>76</v>
      </c>
      <c r="C142" s="1" t="s">
        <v>648</v>
      </c>
      <c r="D142" s="1" t="s">
        <v>587</v>
      </c>
      <c r="E142" s="7" t="s">
        <v>106</v>
      </c>
      <c r="F142" s="7" t="s">
        <v>617</v>
      </c>
      <c r="G142" s="7" t="s">
        <v>107</v>
      </c>
      <c r="H142" s="10">
        <v>22182380</v>
      </c>
      <c r="I142" s="10">
        <v>22266887</v>
      </c>
      <c r="J142" s="10">
        <v>666519</v>
      </c>
      <c r="K142" s="48">
        <v>109304</v>
      </c>
      <c r="L142" s="48">
        <v>2330543</v>
      </c>
      <c r="M142" s="48">
        <v>6215187</v>
      </c>
      <c r="N142" s="48">
        <v>0</v>
      </c>
      <c r="O142" s="48">
        <v>0</v>
      </c>
      <c r="P142" s="48">
        <v>3438352</v>
      </c>
      <c r="Q142" s="48">
        <v>0</v>
      </c>
      <c r="R142" s="10">
        <v>6605634</v>
      </c>
      <c r="S142" s="10">
        <v>1933200</v>
      </c>
      <c r="T142" s="10"/>
      <c r="U142" s="10">
        <v>54550</v>
      </c>
      <c r="V142" s="10">
        <v>21635161</v>
      </c>
      <c r="W142" s="12">
        <v>8.5400000000000004E-2</v>
      </c>
      <c r="X142" s="10">
        <v>0</v>
      </c>
      <c r="Y142" s="22">
        <f>953696/21580611</f>
        <v>4.4192261284909863E-2</v>
      </c>
      <c r="Z142" s="10">
        <v>948391</v>
      </c>
      <c r="AA142" s="10">
        <v>0</v>
      </c>
      <c r="AB142" s="10">
        <f>84507+5066</f>
        <v>89573</v>
      </c>
      <c r="AC142" s="10">
        <v>525261</v>
      </c>
      <c r="AD142" s="10">
        <v>42696</v>
      </c>
      <c r="AE142" s="10">
        <v>103845</v>
      </c>
      <c r="AF142" s="10">
        <v>122016</v>
      </c>
      <c r="AG142" s="10">
        <v>8581</v>
      </c>
      <c r="AH142" s="10">
        <v>19662</v>
      </c>
      <c r="AI142" s="10">
        <v>3014</v>
      </c>
      <c r="AJ142" s="10">
        <v>26551</v>
      </c>
      <c r="AK142" s="10">
        <f>11518+30796+21393</f>
        <v>63707</v>
      </c>
      <c r="AL142" s="10">
        <v>10558</v>
      </c>
      <c r="AM142" s="10">
        <v>921</v>
      </c>
      <c r="AN142" s="10">
        <v>7192</v>
      </c>
      <c r="AO142" s="10">
        <v>0</v>
      </c>
      <c r="AP142" s="10">
        <v>1005526</v>
      </c>
      <c r="AQ142" s="10">
        <v>1024162</v>
      </c>
      <c r="AR142" s="12">
        <f t="shared" si="13"/>
        <v>0</v>
      </c>
      <c r="AS142" s="10">
        <v>0</v>
      </c>
      <c r="AT142" s="10">
        <v>0</v>
      </c>
      <c r="AU142" s="10">
        <v>139609</v>
      </c>
      <c r="AV142" s="10">
        <v>0</v>
      </c>
      <c r="AW142" s="10">
        <v>126688</v>
      </c>
      <c r="AX142" s="10">
        <v>0</v>
      </c>
      <c r="AY142" s="10">
        <v>0</v>
      </c>
      <c r="AZ142" s="10">
        <v>0</v>
      </c>
      <c r="BA142" s="10">
        <v>4376</v>
      </c>
      <c r="BB142" s="10">
        <v>1523</v>
      </c>
      <c r="BC142" s="10">
        <v>0</v>
      </c>
      <c r="BD142" s="10">
        <f>1+11-2-256</f>
        <v>-246</v>
      </c>
      <c r="BE142" s="10">
        <v>-167</v>
      </c>
      <c r="BF142" s="10">
        <v>-874</v>
      </c>
      <c r="BG142" s="10">
        <v>-692</v>
      </c>
      <c r="BH142" s="10">
        <v>0</v>
      </c>
      <c r="BI142" s="10">
        <f t="shared" si="14"/>
        <v>3920</v>
      </c>
      <c r="BJ142" s="1">
        <v>0</v>
      </c>
      <c r="BK142" s="1">
        <v>285</v>
      </c>
      <c r="BL142" s="1">
        <v>45</v>
      </c>
      <c r="BM142" s="1">
        <v>158</v>
      </c>
      <c r="BN142" s="1">
        <v>184</v>
      </c>
      <c r="BO142" s="1">
        <v>20</v>
      </c>
      <c r="BP142" s="1">
        <v>57</v>
      </c>
      <c r="BQ142" s="1">
        <v>16</v>
      </c>
      <c r="BR142" s="1">
        <v>23</v>
      </c>
      <c r="BS142" s="1">
        <v>71</v>
      </c>
      <c r="BT142" s="1">
        <v>0</v>
      </c>
      <c r="BU142" s="1">
        <v>281</v>
      </c>
      <c r="BV142" s="1">
        <v>33</v>
      </c>
      <c r="BW142" s="1">
        <v>71</v>
      </c>
      <c r="BX142" s="1">
        <v>295</v>
      </c>
      <c r="BY142" s="1">
        <v>32</v>
      </c>
    </row>
    <row r="143" spans="1:77">
      <c r="A143" s="1">
        <v>15</v>
      </c>
      <c r="B143" s="1" t="s">
        <v>302</v>
      </c>
      <c r="C143" s="7" t="s">
        <v>300</v>
      </c>
      <c r="D143" s="1" t="s">
        <v>297</v>
      </c>
      <c r="E143" s="1" t="s">
        <v>294</v>
      </c>
      <c r="F143" s="7"/>
      <c r="G143" s="7" t="s">
        <v>286</v>
      </c>
      <c r="H143" s="10">
        <v>3986564</v>
      </c>
      <c r="I143" s="10">
        <v>4005289</v>
      </c>
      <c r="J143" s="10">
        <v>130124</v>
      </c>
      <c r="K143" s="48">
        <v>0</v>
      </c>
      <c r="L143" s="48">
        <v>0</v>
      </c>
      <c r="M143" s="48">
        <v>1344120</v>
      </c>
      <c r="N143" s="48">
        <v>0</v>
      </c>
      <c r="O143" s="48">
        <v>0</v>
      </c>
      <c r="P143" s="48">
        <v>266824</v>
      </c>
      <c r="Q143" s="48">
        <v>0</v>
      </c>
      <c r="R143" s="10">
        <v>1286097</v>
      </c>
      <c r="S143" s="10">
        <v>251168</v>
      </c>
      <c r="T143" s="10">
        <v>1890</v>
      </c>
      <c r="U143" s="10">
        <v>0</v>
      </c>
      <c r="V143" s="10">
        <v>3496582</v>
      </c>
      <c r="W143" s="12">
        <v>0.21379999999999999</v>
      </c>
      <c r="X143" s="10">
        <v>0</v>
      </c>
      <c r="Y143" s="22">
        <f>349469/3494692</f>
        <v>9.999994277035E-2</v>
      </c>
      <c r="Z143" s="10">
        <v>346483</v>
      </c>
      <c r="AA143" s="10">
        <v>0</v>
      </c>
      <c r="AB143" s="10">
        <f>18603+495+466</f>
        <v>19564</v>
      </c>
      <c r="AC143" s="10">
        <v>89281</v>
      </c>
      <c r="AD143" s="10">
        <v>9809</v>
      </c>
      <c r="AE143" s="10">
        <v>7382</v>
      </c>
      <c r="AF143" s="10">
        <v>31994</v>
      </c>
      <c r="AG143" s="10">
        <v>1441</v>
      </c>
      <c r="AH143" s="10">
        <v>8621</v>
      </c>
      <c r="AI143" s="10">
        <v>7234</v>
      </c>
      <c r="AJ143" s="10">
        <v>0</v>
      </c>
      <c r="AK143" s="10">
        <f>4096+4404+10529</f>
        <v>19029</v>
      </c>
      <c r="AL143" s="10">
        <v>4949</v>
      </c>
      <c r="AM143" s="10">
        <v>0</v>
      </c>
      <c r="AN143" s="10">
        <v>10243</v>
      </c>
      <c r="AO143" s="10">
        <v>36090</v>
      </c>
      <c r="AP143" s="10">
        <v>215272</v>
      </c>
      <c r="AQ143" s="10">
        <v>226025</v>
      </c>
      <c r="AR143" s="12">
        <f t="shared" si="13"/>
        <v>0.16764837043368389</v>
      </c>
      <c r="AS143" s="10">
        <v>0</v>
      </c>
      <c r="AT143" s="10">
        <v>0</v>
      </c>
      <c r="AU143" s="10">
        <v>139662</v>
      </c>
      <c r="AV143" s="10">
        <v>0</v>
      </c>
      <c r="AW143" s="10">
        <v>25889</v>
      </c>
      <c r="AX143" s="10">
        <v>0</v>
      </c>
      <c r="AY143" s="10">
        <v>0</v>
      </c>
      <c r="AZ143" s="10">
        <v>0</v>
      </c>
      <c r="BA143" s="10">
        <v>648</v>
      </c>
      <c r="BB143" s="10">
        <v>553</v>
      </c>
      <c r="BC143" s="10">
        <v>41</v>
      </c>
      <c r="BD143" s="10">
        <v>0</v>
      </c>
      <c r="BE143" s="10">
        <v>-115</v>
      </c>
      <c r="BF143" s="10">
        <v>-200</v>
      </c>
      <c r="BG143" s="10">
        <v>-61</v>
      </c>
      <c r="BH143" s="10">
        <v>0</v>
      </c>
      <c r="BI143" s="10">
        <f t="shared" si="14"/>
        <v>866</v>
      </c>
      <c r="BJ143" s="1">
        <v>0</v>
      </c>
      <c r="BK143" s="1">
        <v>17</v>
      </c>
      <c r="BL143" s="1">
        <v>7</v>
      </c>
      <c r="BM143" s="1">
        <v>34</v>
      </c>
      <c r="BN143" s="1">
        <v>2</v>
      </c>
      <c r="BO143" s="1">
        <v>1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</row>
    <row r="144" spans="1:77">
      <c r="A144" s="1">
        <v>15</v>
      </c>
      <c r="B144" s="1" t="s">
        <v>609</v>
      </c>
      <c r="C144" s="7" t="s">
        <v>168</v>
      </c>
      <c r="D144" s="1" t="s">
        <v>587</v>
      </c>
      <c r="E144" s="1" t="s">
        <v>106</v>
      </c>
      <c r="F144" s="7" t="s">
        <v>617</v>
      </c>
      <c r="G144" s="7" t="s">
        <v>107</v>
      </c>
      <c r="H144" s="10">
        <v>22167716</v>
      </c>
      <c r="I144" s="10">
        <v>22256527</v>
      </c>
      <c r="J144" s="10">
        <v>694300</v>
      </c>
      <c r="K144" s="48">
        <v>0</v>
      </c>
      <c r="L144" s="48">
        <v>2183971</v>
      </c>
      <c r="M144" s="48">
        <v>6321825</v>
      </c>
      <c r="N144" s="48">
        <v>28441</v>
      </c>
      <c r="O144" s="48">
        <v>0</v>
      </c>
      <c r="P144" s="48">
        <v>3006706</v>
      </c>
      <c r="Q144" s="48">
        <v>0</v>
      </c>
      <c r="R144" s="10">
        <v>7290122</v>
      </c>
      <c r="S144" s="10">
        <v>1783665</v>
      </c>
      <c r="T144" s="10">
        <v>11167</v>
      </c>
      <c r="U144" s="10">
        <v>37303</v>
      </c>
      <c r="V144" s="10">
        <v>21671553</v>
      </c>
      <c r="W144" s="12">
        <v>6.0499999999999998E-2</v>
      </c>
      <c r="X144" s="10">
        <v>0</v>
      </c>
      <c r="Y144" s="22">
        <f>1010296/21525230</f>
        <v>4.6935433442523031E-2</v>
      </c>
      <c r="Z144" s="10">
        <v>1008353</v>
      </c>
      <c r="AA144" s="10">
        <v>0</v>
      </c>
      <c r="AB144" s="10">
        <f>88811+1746</f>
        <v>90557</v>
      </c>
      <c r="AC144" s="10">
        <v>580237</v>
      </c>
      <c r="AD144" s="10">
        <v>48392</v>
      </c>
      <c r="AE144" s="10">
        <v>99394</v>
      </c>
      <c r="AF144" s="10">
        <f>91681+1800</f>
        <v>93481</v>
      </c>
      <c r="AG144" s="10">
        <v>4733</v>
      </c>
      <c r="AH144" s="10">
        <v>18237</v>
      </c>
      <c r="AI144" s="10">
        <v>0</v>
      </c>
      <c r="AJ144" s="10">
        <v>27107</v>
      </c>
      <c r="AK144" s="10">
        <f>8978+14643+15901</f>
        <v>39522</v>
      </c>
      <c r="AL144" s="10">
        <v>9811</v>
      </c>
      <c r="AM144" s="10">
        <v>1281</v>
      </c>
      <c r="AN144" s="10">
        <v>58401</v>
      </c>
      <c r="AO144" s="10">
        <v>0</v>
      </c>
      <c r="AP144" s="10">
        <v>1037287</v>
      </c>
      <c r="AQ144" s="10">
        <v>1082692</v>
      </c>
      <c r="AR144" s="12">
        <f t="shared" si="13"/>
        <v>0</v>
      </c>
      <c r="AS144" s="10">
        <v>0</v>
      </c>
      <c r="AT144" s="10">
        <v>0</v>
      </c>
      <c r="AU144" s="10">
        <v>139662</v>
      </c>
      <c r="AV144" s="10">
        <v>0</v>
      </c>
      <c r="AW144" s="10">
        <v>105303</v>
      </c>
      <c r="AX144" s="10">
        <v>0</v>
      </c>
      <c r="AY144" s="10">
        <v>0</v>
      </c>
      <c r="AZ144" s="10">
        <v>0</v>
      </c>
      <c r="BA144" s="10">
        <v>4439</v>
      </c>
      <c r="BB144" s="10">
        <v>1447</v>
      </c>
      <c r="BC144" s="10">
        <v>0</v>
      </c>
      <c r="BD144" s="10">
        <v>11</v>
      </c>
      <c r="BE144" s="10">
        <v>-189</v>
      </c>
      <c r="BF144" s="10">
        <v>-1039</v>
      </c>
      <c r="BG144" s="10">
        <v>-700</v>
      </c>
      <c r="BH144" s="10">
        <v>-1</v>
      </c>
      <c r="BI144" s="10">
        <f t="shared" si="14"/>
        <v>3968</v>
      </c>
      <c r="BJ144" s="1">
        <v>13</v>
      </c>
      <c r="BK144" s="1">
        <v>347</v>
      </c>
      <c r="BL144" s="1">
        <v>39</v>
      </c>
      <c r="BM144" s="1">
        <v>119</v>
      </c>
      <c r="BN144" s="1">
        <v>196</v>
      </c>
      <c r="BO144" s="1">
        <v>0</v>
      </c>
      <c r="BP144" s="1">
        <v>63</v>
      </c>
      <c r="BQ144" s="1">
        <v>12</v>
      </c>
      <c r="BR144" s="1">
        <v>22</v>
      </c>
      <c r="BS144" s="1">
        <v>55</v>
      </c>
      <c r="BT144" s="1">
        <v>0</v>
      </c>
      <c r="BU144" s="1">
        <v>278</v>
      </c>
      <c r="BV144" s="1">
        <v>30</v>
      </c>
      <c r="BW144" s="1">
        <v>61</v>
      </c>
      <c r="BX144" s="1">
        <v>197</v>
      </c>
      <c r="BY144" s="1">
        <v>0</v>
      </c>
    </row>
    <row r="145" spans="1:77">
      <c r="A145" s="1">
        <v>16</v>
      </c>
      <c r="B145" s="1" t="s">
        <v>141</v>
      </c>
      <c r="C145" s="7" t="s">
        <v>35</v>
      </c>
      <c r="D145" s="1" t="s">
        <v>499</v>
      </c>
      <c r="E145" s="1" t="s">
        <v>106</v>
      </c>
      <c r="F145" s="7" t="s">
        <v>119</v>
      </c>
      <c r="G145" s="7" t="s">
        <v>107</v>
      </c>
      <c r="H145" s="10">
        <v>22828392</v>
      </c>
      <c r="I145" s="10">
        <v>22957946</v>
      </c>
      <c r="J145" s="10">
        <v>1346716</v>
      </c>
      <c r="K145" s="48">
        <v>0</v>
      </c>
      <c r="L145" s="48">
        <v>0</v>
      </c>
      <c r="M145" s="48">
        <v>0</v>
      </c>
      <c r="N145" s="48">
        <v>7732491</v>
      </c>
      <c r="O145" s="48">
        <v>0</v>
      </c>
      <c r="P145" s="48">
        <v>0</v>
      </c>
      <c r="Q145" s="48">
        <v>4699185</v>
      </c>
      <c r="R145" s="10">
        <v>5588279</v>
      </c>
      <c r="S145" s="10">
        <v>775872</v>
      </c>
      <c r="T145" s="10">
        <v>16672</v>
      </c>
      <c r="U145" s="10">
        <v>0</v>
      </c>
      <c r="V145" s="10">
        <v>20065448</v>
      </c>
      <c r="W145" s="12">
        <v>0.05</v>
      </c>
      <c r="X145" s="10">
        <v>0</v>
      </c>
      <c r="Y145" s="22">
        <f>1148759/20048776</f>
        <v>5.7298211122713924E-2</v>
      </c>
      <c r="Z145" s="10">
        <v>1145951</v>
      </c>
      <c r="AA145" s="10">
        <v>0</v>
      </c>
      <c r="AB145" s="10">
        <f>103532+4966</f>
        <v>108498</v>
      </c>
      <c r="AC145" s="10">
        <v>625515</v>
      </c>
      <c r="AD145" s="10">
        <v>52938</v>
      </c>
      <c r="AE145" s="10">
        <v>86604</v>
      </c>
      <c r="AF145" s="10">
        <v>157520</v>
      </c>
      <c r="AG145" s="10">
        <v>23109</v>
      </c>
      <c r="AH145" s="10">
        <v>19180</v>
      </c>
      <c r="AI145" s="10">
        <v>19268</v>
      </c>
      <c r="AJ145" s="10">
        <v>0</v>
      </c>
      <c r="AK145" s="10">
        <f>19163+29561+37494</f>
        <v>86218</v>
      </c>
      <c r="AL145" s="10">
        <v>19993</v>
      </c>
      <c r="AM145" s="10">
        <v>15585</v>
      </c>
      <c r="AN145" s="10">
        <v>27269</v>
      </c>
      <c r="AO145" s="10">
        <v>0</v>
      </c>
      <c r="AP145" s="10">
        <v>1217743</v>
      </c>
      <c r="AQ145" s="10">
        <v>1279566</v>
      </c>
      <c r="AR145" s="12">
        <f t="shared" si="13"/>
        <v>0</v>
      </c>
      <c r="AS145" s="10">
        <v>0</v>
      </c>
      <c r="AT145" s="10">
        <v>0</v>
      </c>
      <c r="AU145" s="10">
        <v>139662</v>
      </c>
      <c r="AV145" s="10">
        <v>0</v>
      </c>
      <c r="AW145" s="10">
        <v>196651</v>
      </c>
      <c r="AX145" s="10">
        <v>0</v>
      </c>
      <c r="AY145" s="10">
        <v>0</v>
      </c>
      <c r="AZ145" s="10">
        <v>0</v>
      </c>
      <c r="BA145" s="10">
        <v>6688</v>
      </c>
      <c r="BB145" s="10">
        <v>1171</v>
      </c>
      <c r="BC145" s="10">
        <v>0</v>
      </c>
      <c r="BD145" s="10">
        <v>-3523</v>
      </c>
      <c r="BE145" s="10">
        <v>-203</v>
      </c>
      <c r="BF145" s="10">
        <v>-1037</v>
      </c>
      <c r="BG145" s="10">
        <v>-708</v>
      </c>
      <c r="BH145" s="10">
        <v>-17</v>
      </c>
      <c r="BI145" s="10">
        <f t="shared" si="14"/>
        <v>2371</v>
      </c>
      <c r="BJ145" s="1">
        <v>14</v>
      </c>
      <c r="BK145" s="1">
        <v>415</v>
      </c>
      <c r="BL145" s="1">
        <v>45</v>
      </c>
      <c r="BM145" s="1">
        <v>112</v>
      </c>
      <c r="BN145" s="1">
        <v>73</v>
      </c>
      <c r="BO145" s="1">
        <v>80</v>
      </c>
      <c r="BP145" s="1">
        <v>725</v>
      </c>
      <c r="BQ145" s="1" t="s">
        <v>453</v>
      </c>
      <c r="BR145" s="1" t="s">
        <v>453</v>
      </c>
      <c r="BS145" s="1" t="s">
        <v>453</v>
      </c>
      <c r="BT145" s="1" t="s">
        <v>453</v>
      </c>
      <c r="BU145" s="1" t="s">
        <v>453</v>
      </c>
      <c r="BV145" s="1" t="s">
        <v>453</v>
      </c>
      <c r="BW145" s="1" t="s">
        <v>453</v>
      </c>
      <c r="BX145" s="1" t="s">
        <v>453</v>
      </c>
      <c r="BY145" s="1" t="s">
        <v>453</v>
      </c>
    </row>
    <row r="146" spans="1:77">
      <c r="A146" s="1">
        <v>16</v>
      </c>
      <c r="B146" s="1" t="s">
        <v>161</v>
      </c>
      <c r="C146" s="7" t="s">
        <v>456</v>
      </c>
      <c r="D146" s="1" t="s">
        <v>387</v>
      </c>
      <c r="E146" s="1" t="s">
        <v>106</v>
      </c>
      <c r="F146" s="7" t="s">
        <v>119</v>
      </c>
      <c r="G146" s="7" t="s">
        <v>107</v>
      </c>
      <c r="H146" s="10">
        <v>21146409</v>
      </c>
      <c r="I146" s="10">
        <v>21173458</v>
      </c>
      <c r="J146" s="10">
        <v>1385274</v>
      </c>
      <c r="K146" s="48">
        <v>0</v>
      </c>
      <c r="L146" s="48">
        <v>0</v>
      </c>
      <c r="M146" s="48">
        <v>0</v>
      </c>
      <c r="N146" s="48">
        <v>9733671</v>
      </c>
      <c r="O146" s="48">
        <v>0</v>
      </c>
      <c r="P146" s="48">
        <v>0</v>
      </c>
      <c r="Q146" s="48">
        <v>3525717</v>
      </c>
      <c r="R146" s="10">
        <v>3114475</v>
      </c>
      <c r="S146" s="10">
        <v>1985029</v>
      </c>
      <c r="T146" s="10">
        <v>23602</v>
      </c>
      <c r="U146" s="10">
        <v>0</v>
      </c>
      <c r="V146" s="10">
        <v>20044455</v>
      </c>
      <c r="W146" s="12">
        <v>0.03</v>
      </c>
      <c r="X146" s="10">
        <f>1661731/20020853</f>
        <v>8.3000010039532279E-2</v>
      </c>
      <c r="Y146" s="22">
        <f>1661731/20020853</f>
        <v>8.3000010039532279E-2</v>
      </c>
      <c r="Z146" s="10">
        <v>1661961</v>
      </c>
      <c r="AA146" s="10">
        <v>0</v>
      </c>
      <c r="AB146" s="10">
        <f>27049+1906</f>
        <v>28955</v>
      </c>
      <c r="AC146" s="10">
        <v>884610</v>
      </c>
      <c r="AD146" s="10">
        <v>77158</v>
      </c>
      <c r="AE146" s="10">
        <v>77076</v>
      </c>
      <c r="AF146" s="10">
        <v>179490</v>
      </c>
      <c r="AG146" s="10">
        <v>18495</v>
      </c>
      <c r="AH146" s="10">
        <v>39200</v>
      </c>
      <c r="AI146" s="10">
        <v>13816</v>
      </c>
      <c r="AJ146" s="10">
        <v>0</v>
      </c>
      <c r="AK146" s="10">
        <f>16711+24338+62104</f>
        <v>103153</v>
      </c>
      <c r="AL146" s="10">
        <v>12342</v>
      </c>
      <c r="AM146" s="10">
        <v>22996</v>
      </c>
      <c r="AN146" s="10">
        <v>4575</v>
      </c>
      <c r="AO146" s="10">
        <v>0</v>
      </c>
      <c r="AP146" s="10">
        <v>1705461</v>
      </c>
      <c r="AQ146" s="10">
        <v>1860521</v>
      </c>
      <c r="AR146" s="12">
        <f t="shared" si="13"/>
        <v>0</v>
      </c>
      <c r="AS146" s="10">
        <v>0</v>
      </c>
      <c r="AT146" s="10">
        <v>0</v>
      </c>
      <c r="AU146" s="10">
        <v>139662</v>
      </c>
      <c r="AV146" s="10">
        <v>0</v>
      </c>
      <c r="AW146" s="10">
        <v>169519</v>
      </c>
      <c r="AX146" s="10">
        <v>0</v>
      </c>
      <c r="AY146" s="10">
        <v>0</v>
      </c>
      <c r="AZ146" s="10">
        <v>0</v>
      </c>
      <c r="BA146" s="10">
        <v>5242</v>
      </c>
      <c r="BB146" s="10">
        <v>4517</v>
      </c>
      <c r="BC146" s="10">
        <v>0</v>
      </c>
      <c r="BD146" s="10">
        <f>21+4-1374</f>
        <v>-1349</v>
      </c>
      <c r="BE146" s="10">
        <v>-303</v>
      </c>
      <c r="BF146" s="10">
        <v>-3583</v>
      </c>
      <c r="BG146" s="10">
        <v>-566</v>
      </c>
      <c r="BH146" s="10">
        <v>0</v>
      </c>
      <c r="BI146" s="10">
        <f t="shared" si="14"/>
        <v>3958</v>
      </c>
      <c r="BJ146" s="1">
        <v>0</v>
      </c>
      <c r="BK146" s="1">
        <v>181</v>
      </c>
      <c r="BL146" s="1">
        <v>16</v>
      </c>
      <c r="BM146" s="1">
        <v>138</v>
      </c>
      <c r="BN146" s="1">
        <v>231</v>
      </c>
      <c r="BO146" s="1">
        <v>0</v>
      </c>
      <c r="BP146" s="1" t="s">
        <v>453</v>
      </c>
      <c r="BQ146" s="1" t="s">
        <v>453</v>
      </c>
      <c r="BR146" s="1" t="s">
        <v>453</v>
      </c>
      <c r="BS146" s="1" t="s">
        <v>453</v>
      </c>
      <c r="BT146" s="1" t="s">
        <v>453</v>
      </c>
      <c r="BU146" s="1" t="s">
        <v>453</v>
      </c>
      <c r="BV146" s="1" t="s">
        <v>453</v>
      </c>
      <c r="BW146" s="1" t="s">
        <v>453</v>
      </c>
      <c r="BX146" s="1" t="s">
        <v>453</v>
      </c>
      <c r="BY146" s="1" t="s">
        <v>453</v>
      </c>
    </row>
    <row r="147" spans="1:77">
      <c r="A147" s="31">
        <v>16</v>
      </c>
      <c r="B147" s="7" t="s">
        <v>167</v>
      </c>
      <c r="C147" s="7" t="s">
        <v>572</v>
      </c>
      <c r="D147" s="7" t="s">
        <v>563</v>
      </c>
      <c r="E147" s="7" t="s">
        <v>106</v>
      </c>
      <c r="F147" s="7" t="s">
        <v>119</v>
      </c>
      <c r="G147" s="7" t="s">
        <v>107</v>
      </c>
      <c r="H147" s="10">
        <v>22669368</v>
      </c>
      <c r="I147" s="10">
        <v>23430962</v>
      </c>
      <c r="J147" s="10">
        <v>816662</v>
      </c>
      <c r="K147" s="48">
        <v>0</v>
      </c>
      <c r="L147" s="48">
        <v>0</v>
      </c>
      <c r="M147" s="48">
        <v>0</v>
      </c>
      <c r="N147" s="48">
        <v>10975723</v>
      </c>
      <c r="O147" s="48">
        <v>0</v>
      </c>
      <c r="P147" s="48">
        <v>0</v>
      </c>
      <c r="Q147" s="48">
        <v>2756017</v>
      </c>
      <c r="R147" s="10">
        <v>4418322</v>
      </c>
      <c r="S147" s="10">
        <v>1387667</v>
      </c>
      <c r="T147" s="10">
        <v>34724</v>
      </c>
      <c r="U147" s="10">
        <v>0</v>
      </c>
      <c r="V147" s="10">
        <v>20675594</v>
      </c>
      <c r="W147" s="12">
        <v>0.08</v>
      </c>
      <c r="X147" s="10">
        <v>0</v>
      </c>
      <c r="Y147" s="22">
        <f>1060960/20640869</f>
        <v>5.1400936656300661E-2</v>
      </c>
      <c r="Z147" s="10">
        <v>1064654</v>
      </c>
      <c r="AA147" s="10">
        <v>0</v>
      </c>
      <c r="AB147" s="10">
        <f>66444+19364</f>
        <v>85808</v>
      </c>
      <c r="AC147" s="10">
        <v>607577</v>
      </c>
      <c r="AD147" s="10">
        <v>58428</v>
      </c>
      <c r="AE147" s="10">
        <v>84625</v>
      </c>
      <c r="AF147" s="10">
        <v>142786</v>
      </c>
      <c r="AG147" s="10">
        <v>8476</v>
      </c>
      <c r="AH147" s="10">
        <v>20689</v>
      </c>
      <c r="AI147" s="10">
        <v>1701</v>
      </c>
      <c r="AJ147" s="10">
        <v>0</v>
      </c>
      <c r="AK147" s="10">
        <f>18870+35705+58486</f>
        <v>113061</v>
      </c>
      <c r="AL147" s="10">
        <v>12969</v>
      </c>
      <c r="AM147" s="10">
        <v>42070</v>
      </c>
      <c r="AN147" s="10">
        <v>134018</v>
      </c>
      <c r="AO147" s="10">
        <v>0</v>
      </c>
      <c r="AP147" s="10">
        <v>1289894</v>
      </c>
      <c r="AQ147" s="10">
        <v>1351196</v>
      </c>
      <c r="AR147" s="12">
        <f t="shared" si="13"/>
        <v>0</v>
      </c>
      <c r="AS147" s="10">
        <v>850</v>
      </c>
      <c r="AT147" s="10">
        <v>0</v>
      </c>
      <c r="AU147" s="10">
        <v>139662</v>
      </c>
      <c r="AV147" s="10">
        <v>0</v>
      </c>
      <c r="AW147" s="10">
        <v>178941</v>
      </c>
      <c r="AX147" s="10">
        <v>0</v>
      </c>
      <c r="AY147" s="10">
        <v>0</v>
      </c>
      <c r="AZ147" s="10">
        <v>0</v>
      </c>
      <c r="BA147" s="10">
        <v>3676</v>
      </c>
      <c r="BB147" s="10">
        <v>3877</v>
      </c>
      <c r="BC147" s="10">
        <v>31</v>
      </c>
      <c r="BD147" s="10">
        <f>1+45-19-2</f>
        <v>25</v>
      </c>
      <c r="BE147" s="10">
        <v>-324</v>
      </c>
      <c r="BF147" s="10">
        <v>-3022</v>
      </c>
      <c r="BG147" s="10">
        <v>-330</v>
      </c>
      <c r="BH147" s="10">
        <v>-1</v>
      </c>
      <c r="BI147" s="10">
        <f t="shared" si="14"/>
        <v>3932</v>
      </c>
      <c r="BJ147" s="1">
        <v>0</v>
      </c>
      <c r="BK147" s="1">
        <v>170</v>
      </c>
      <c r="BL147" s="1">
        <v>4</v>
      </c>
      <c r="BM147" s="1">
        <v>5</v>
      </c>
      <c r="BN147" s="1">
        <v>8</v>
      </c>
      <c r="BO147" s="1">
        <v>142</v>
      </c>
      <c r="BP147" s="1">
        <v>0</v>
      </c>
      <c r="BQ147" s="1">
        <v>3</v>
      </c>
      <c r="BR147" s="1">
        <v>23</v>
      </c>
      <c r="BS147" s="1">
        <v>173</v>
      </c>
      <c r="BT147" s="1">
        <v>124</v>
      </c>
      <c r="BU147" s="1">
        <v>20</v>
      </c>
      <c r="BV147" s="1">
        <v>23</v>
      </c>
      <c r="BW147" s="1">
        <v>100</v>
      </c>
      <c r="BX147" s="1">
        <v>975</v>
      </c>
      <c r="BY147" s="1">
        <v>392</v>
      </c>
    </row>
    <row r="148" spans="1:77">
      <c r="A148" s="1">
        <v>16</v>
      </c>
      <c r="B148" s="1" t="s">
        <v>200</v>
      </c>
      <c r="C148" s="7" t="s">
        <v>209</v>
      </c>
      <c r="D148" s="1" t="s">
        <v>387</v>
      </c>
      <c r="E148" s="1" t="s">
        <v>106</v>
      </c>
      <c r="F148" s="7" t="s">
        <v>119</v>
      </c>
      <c r="G148" s="7" t="s">
        <v>107</v>
      </c>
      <c r="H148" s="10">
        <v>18949677</v>
      </c>
      <c r="I148" s="10">
        <v>18997352</v>
      </c>
      <c r="J148" s="10">
        <v>1250027</v>
      </c>
      <c r="K148" s="48">
        <v>0</v>
      </c>
      <c r="L148" s="48">
        <v>4836421</v>
      </c>
      <c r="M148" s="48">
        <v>2278197</v>
      </c>
      <c r="N148" s="48">
        <v>1141721</v>
      </c>
      <c r="O148" s="48">
        <v>0</v>
      </c>
      <c r="P148" s="48">
        <v>2853317</v>
      </c>
      <c r="Q148" s="48">
        <v>0</v>
      </c>
      <c r="R148" s="10">
        <v>3128681</v>
      </c>
      <c r="S148" s="10">
        <v>1774364</v>
      </c>
      <c r="T148" s="10">
        <v>54651</v>
      </c>
      <c r="U148" s="10">
        <v>0</v>
      </c>
      <c r="V148" s="10">
        <v>17321499</v>
      </c>
      <c r="W148" s="12">
        <v>0.1</v>
      </c>
      <c r="X148" s="10">
        <v>0</v>
      </c>
      <c r="Y148" s="22">
        <f>1250887/16830002</f>
        <v>7.432482776888559E-2</v>
      </c>
      <c r="Z148" s="10">
        <v>1254147</v>
      </c>
      <c r="AA148" s="10">
        <v>0</v>
      </c>
      <c r="AB148" s="10">
        <f>47675+11931</f>
        <v>59606</v>
      </c>
      <c r="AC148" s="10">
        <v>701350</v>
      </c>
      <c r="AD148" s="10">
        <v>63507</v>
      </c>
      <c r="AE148" s="10">
        <v>75825</v>
      </c>
      <c r="AF148" s="10">
        <f>254072+976</f>
        <v>255048</v>
      </c>
      <c r="AG148" s="10">
        <v>9930</v>
      </c>
      <c r="AH148" s="10">
        <v>45235</v>
      </c>
      <c r="AI148" s="10">
        <v>11592</v>
      </c>
      <c r="AJ148" s="10">
        <v>0</v>
      </c>
      <c r="AK148" s="10">
        <f>16089+40159+52443</f>
        <v>108691</v>
      </c>
      <c r="AL148" s="10">
        <v>14107</v>
      </c>
      <c r="AM148" s="10">
        <v>22533</v>
      </c>
      <c r="AN148" s="10">
        <v>2877</v>
      </c>
      <c r="AO148" s="10">
        <v>0</v>
      </c>
      <c r="AP148" s="10">
        <v>1434355</v>
      </c>
      <c r="AQ148" s="10">
        <v>1455944</v>
      </c>
      <c r="AR148" s="12">
        <f t="shared" si="13"/>
        <v>0</v>
      </c>
      <c r="AS148" s="10">
        <v>0</v>
      </c>
      <c r="AT148" s="10">
        <v>0</v>
      </c>
      <c r="AU148" s="10">
        <v>139662</v>
      </c>
      <c r="AV148" s="10">
        <v>0</v>
      </c>
      <c r="AW148" s="10">
        <v>218795</v>
      </c>
      <c r="AX148" s="10">
        <v>0</v>
      </c>
      <c r="AY148" s="10">
        <v>0</v>
      </c>
      <c r="AZ148" s="10">
        <v>0</v>
      </c>
      <c r="BA148" s="10">
        <v>5363</v>
      </c>
      <c r="BB148" s="10">
        <v>4638</v>
      </c>
      <c r="BC148" s="10">
        <v>42</v>
      </c>
      <c r="BD148" s="10">
        <f>754+56-2678</f>
        <v>-1868</v>
      </c>
      <c r="BE148" s="10">
        <v>-364</v>
      </c>
      <c r="BF148" s="10">
        <v>-4024</v>
      </c>
      <c r="BG148" s="10">
        <v>-375</v>
      </c>
      <c r="BH148" s="10">
        <v>-1</v>
      </c>
      <c r="BI148" s="10">
        <f t="shared" si="14"/>
        <v>3411</v>
      </c>
      <c r="BJ148" s="1">
        <v>2</v>
      </c>
      <c r="BK148" s="1">
        <v>120</v>
      </c>
      <c r="BL148" s="1">
        <v>15</v>
      </c>
      <c r="BM148" s="1">
        <v>103</v>
      </c>
      <c r="BN148" s="1">
        <v>67</v>
      </c>
      <c r="BO148" s="1">
        <v>67</v>
      </c>
      <c r="BP148" s="1">
        <v>18</v>
      </c>
      <c r="BQ148" s="1">
        <v>4</v>
      </c>
      <c r="BR148" s="1">
        <v>23</v>
      </c>
      <c r="BS148" s="1">
        <v>33</v>
      </c>
      <c r="BT148" s="1">
        <v>2</v>
      </c>
      <c r="BU148" s="1">
        <v>314</v>
      </c>
      <c r="BV148" s="1">
        <v>26</v>
      </c>
      <c r="BW148" s="1">
        <v>76</v>
      </c>
      <c r="BX148" s="1">
        <v>147</v>
      </c>
      <c r="BY148" s="1">
        <v>50</v>
      </c>
    </row>
    <row r="149" spans="1:77">
      <c r="A149" s="31">
        <v>16</v>
      </c>
      <c r="B149" s="7" t="s">
        <v>574</v>
      </c>
      <c r="C149" s="7" t="s">
        <v>212</v>
      </c>
      <c r="D149" s="7" t="s">
        <v>588</v>
      </c>
      <c r="E149" s="7" t="s">
        <v>106</v>
      </c>
      <c r="F149" s="7" t="s">
        <v>119</v>
      </c>
      <c r="G149" s="7" t="s">
        <v>107</v>
      </c>
      <c r="H149" s="10">
        <v>19095778</v>
      </c>
      <c r="I149" s="10">
        <v>20941702</v>
      </c>
      <c r="J149" s="10">
        <v>1319020</v>
      </c>
      <c r="K149" s="48">
        <v>0</v>
      </c>
      <c r="L149" s="48">
        <v>0</v>
      </c>
      <c r="M149" s="48">
        <v>0</v>
      </c>
      <c r="N149" s="48">
        <v>7271232</v>
      </c>
      <c r="O149" s="48">
        <v>0</v>
      </c>
      <c r="P149" s="48">
        <v>3173038</v>
      </c>
      <c r="Q149" s="48">
        <v>0</v>
      </c>
      <c r="R149" s="10">
        <v>3138791</v>
      </c>
      <c r="S149" s="10">
        <v>1733686</v>
      </c>
      <c r="T149" s="10">
        <v>36929</v>
      </c>
      <c r="U149" s="10">
        <v>0</v>
      </c>
      <c r="V149" s="10">
        <v>16389683</v>
      </c>
      <c r="W149" s="12">
        <v>0.17</v>
      </c>
      <c r="X149" s="10">
        <v>0</v>
      </c>
      <c r="Y149" s="22">
        <f>1042825/16021608</f>
        <v>6.508866026431305E-2</v>
      </c>
      <c r="Z149" s="10">
        <v>1036094</v>
      </c>
      <c r="AA149" s="10">
        <v>0</v>
      </c>
      <c r="AB149" s="10">
        <f>32070+2826</f>
        <v>34896</v>
      </c>
      <c r="AC149" s="10">
        <v>639359</v>
      </c>
      <c r="AD149" s="10">
        <v>61138</v>
      </c>
      <c r="AE149" s="10">
        <v>83544</v>
      </c>
      <c r="AF149" s="10">
        <v>141213</v>
      </c>
      <c r="AG149" s="10">
        <v>8451</v>
      </c>
      <c r="AH149" s="10">
        <v>39367</v>
      </c>
      <c r="AI149" s="10">
        <v>26416</v>
      </c>
      <c r="AJ149" s="10">
        <v>0</v>
      </c>
      <c r="AK149" s="10">
        <f>18156+27332+79722</f>
        <v>125210</v>
      </c>
      <c r="AL149" s="10">
        <v>19858</v>
      </c>
      <c r="AM149" s="10">
        <v>28450</v>
      </c>
      <c r="AN149" s="10">
        <v>82215</v>
      </c>
      <c r="AO149" s="10">
        <v>0</v>
      </c>
      <c r="AP149" s="10">
        <v>1350288</v>
      </c>
      <c r="AQ149" s="10">
        <v>1349032</v>
      </c>
      <c r="AR149" s="12">
        <f t="shared" si="13"/>
        <v>0</v>
      </c>
      <c r="AS149" s="10">
        <v>0</v>
      </c>
      <c r="AT149" s="10">
        <v>0</v>
      </c>
      <c r="AU149" s="10">
        <v>139662</v>
      </c>
      <c r="AV149" s="10">
        <v>0</v>
      </c>
      <c r="AW149" s="10">
        <v>181997</v>
      </c>
      <c r="AX149" s="10">
        <v>0</v>
      </c>
      <c r="AY149" s="10">
        <v>0</v>
      </c>
      <c r="AZ149" s="10">
        <v>0</v>
      </c>
      <c r="BA149" s="10">
        <v>0</v>
      </c>
      <c r="BB149" s="10">
        <v>2398</v>
      </c>
      <c r="BC149" s="10">
        <v>0</v>
      </c>
      <c r="BD149" s="10">
        <f>3369-29</f>
        <v>3340</v>
      </c>
      <c r="BE149" s="10">
        <v>-244</v>
      </c>
      <c r="BF149" s="10">
        <v>-1812</v>
      </c>
      <c r="BG149" s="10">
        <v>-109</v>
      </c>
      <c r="BH149" s="10">
        <v>0</v>
      </c>
      <c r="BI149" s="10">
        <f t="shared" si="14"/>
        <v>3573</v>
      </c>
      <c r="BJ149" s="1">
        <v>12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 t="s">
        <v>453</v>
      </c>
      <c r="BQ149" s="1" t="s">
        <v>453</v>
      </c>
      <c r="BR149" s="1" t="s">
        <v>453</v>
      </c>
      <c r="BS149" s="1" t="s">
        <v>453</v>
      </c>
      <c r="BT149" s="1" t="s">
        <v>453</v>
      </c>
      <c r="BU149" s="1" t="s">
        <v>453</v>
      </c>
      <c r="BV149" s="1" t="s">
        <v>453</v>
      </c>
      <c r="BW149" s="1" t="s">
        <v>453</v>
      </c>
      <c r="BX149" s="1" t="s">
        <v>453</v>
      </c>
      <c r="BY149" s="1" t="s">
        <v>453</v>
      </c>
    </row>
    <row r="150" spans="1:77">
      <c r="A150" s="1">
        <v>17</v>
      </c>
      <c r="B150" s="1" t="s">
        <v>94</v>
      </c>
      <c r="C150" s="7" t="s">
        <v>407</v>
      </c>
      <c r="D150" s="1" t="s">
        <v>287</v>
      </c>
      <c r="E150" s="1" t="s">
        <v>106</v>
      </c>
      <c r="F150" s="7" t="s">
        <v>478</v>
      </c>
      <c r="G150" s="7" t="s">
        <v>107</v>
      </c>
      <c r="H150" s="10">
        <v>38428477</v>
      </c>
      <c r="I150" s="3">
        <v>38561062</v>
      </c>
      <c r="J150" s="10">
        <v>2144704</v>
      </c>
      <c r="K150" s="48">
        <v>0</v>
      </c>
      <c r="L150" s="33">
        <v>0</v>
      </c>
      <c r="M150" s="48">
        <v>0</v>
      </c>
      <c r="N150" s="48">
        <v>17756743</v>
      </c>
      <c r="O150" s="48">
        <v>0</v>
      </c>
      <c r="P150" s="48">
        <v>0</v>
      </c>
      <c r="Q150" s="48">
        <v>7073779</v>
      </c>
      <c r="R150" s="10">
        <v>7654161</v>
      </c>
      <c r="S150" s="10">
        <v>2477015</v>
      </c>
      <c r="T150" s="10">
        <v>0</v>
      </c>
      <c r="U150" s="10">
        <v>0</v>
      </c>
      <c r="V150" s="10">
        <v>36438054</v>
      </c>
      <c r="W150" s="12">
        <v>0.09</v>
      </c>
      <c r="X150" s="10">
        <v>0</v>
      </c>
      <c r="Y150" s="22">
        <f>1457522/36438054</f>
        <v>3.9999995608986143E-2</v>
      </c>
      <c r="Z150" s="10">
        <v>1460013</v>
      </c>
      <c r="AA150" s="10">
        <v>0</v>
      </c>
      <c r="AB150" s="10">
        <f>132585+2216</f>
        <v>134801</v>
      </c>
      <c r="AC150" s="10">
        <v>836370</v>
      </c>
      <c r="AD150" s="10">
        <v>70618</v>
      </c>
      <c r="AE150" s="10">
        <v>116542</v>
      </c>
      <c r="AF150" s="10">
        <v>101108</v>
      </c>
      <c r="AG150" s="10">
        <v>3752</v>
      </c>
      <c r="AH150" s="10">
        <v>21612</v>
      </c>
      <c r="AI150" s="10">
        <v>7981</v>
      </c>
      <c r="AJ150" s="10">
        <v>18350</v>
      </c>
      <c r="AK150" s="10">
        <f>16016+42814+44146</f>
        <v>102976</v>
      </c>
      <c r="AL150" s="10">
        <v>15023</v>
      </c>
      <c r="AM150" s="10">
        <v>21805</v>
      </c>
      <c r="AN150" s="10">
        <v>18202</v>
      </c>
      <c r="AO150" s="10">
        <v>0</v>
      </c>
      <c r="AP150" s="10">
        <v>1385391</v>
      </c>
      <c r="AQ150" s="10">
        <v>1477175</v>
      </c>
      <c r="AR150" s="12">
        <f t="shared" si="13"/>
        <v>0</v>
      </c>
      <c r="AS150" s="10">
        <v>0</v>
      </c>
      <c r="AT150" s="10">
        <v>0</v>
      </c>
      <c r="AU150" s="10">
        <v>139662</v>
      </c>
      <c r="AV150" s="10">
        <v>0</v>
      </c>
      <c r="AW150" s="10">
        <v>205006</v>
      </c>
      <c r="AX150" s="10">
        <v>0</v>
      </c>
      <c r="AY150" s="10">
        <v>0</v>
      </c>
      <c r="AZ150" s="10">
        <v>0</v>
      </c>
      <c r="BA150" s="10">
        <v>6406</v>
      </c>
      <c r="BB150" s="10">
        <v>2261</v>
      </c>
      <c r="BC150" s="10">
        <v>0</v>
      </c>
      <c r="BD150" s="10">
        <f>30-4</f>
        <v>26</v>
      </c>
      <c r="BE150" s="10">
        <v>-136</v>
      </c>
      <c r="BF150" s="10">
        <v>-1170</v>
      </c>
      <c r="BG150" s="10">
        <v>-1025</v>
      </c>
      <c r="BH150" s="10">
        <v>-2</v>
      </c>
      <c r="BI150" s="10">
        <f t="shared" si="14"/>
        <v>6360</v>
      </c>
      <c r="BJ150" s="1">
        <v>13</v>
      </c>
      <c r="BK150" s="1">
        <v>167</v>
      </c>
      <c r="BL150" s="1">
        <v>47</v>
      </c>
      <c r="BM150" s="1">
        <v>685</v>
      </c>
      <c r="BN150" s="1">
        <v>234</v>
      </c>
      <c r="BO150" s="1">
        <v>11</v>
      </c>
      <c r="BP150" s="1"/>
      <c r="BQ150" s="1"/>
      <c r="BR150" s="1"/>
      <c r="BS150" s="1"/>
      <c r="BT150" s="1"/>
      <c r="BU150" s="1"/>
      <c r="BV150" s="1"/>
      <c r="BW150" s="1"/>
      <c r="BX150" s="1"/>
      <c r="BY150" s="1"/>
    </row>
    <row r="151" spans="1:77">
      <c r="A151" s="1">
        <v>17</v>
      </c>
      <c r="B151" s="1" t="s">
        <v>100</v>
      </c>
      <c r="C151" s="7" t="s">
        <v>168</v>
      </c>
      <c r="D151" s="1" t="s">
        <v>244</v>
      </c>
      <c r="E151" s="1" t="s">
        <v>106</v>
      </c>
      <c r="F151" s="7" t="s">
        <v>478</v>
      </c>
      <c r="G151" s="7" t="s">
        <v>107</v>
      </c>
      <c r="H151" s="10">
        <v>17857973</v>
      </c>
      <c r="I151" s="10">
        <v>17897854</v>
      </c>
      <c r="J151" s="10">
        <v>588993</v>
      </c>
      <c r="K151" s="48" t="s">
        <v>453</v>
      </c>
      <c r="L151" s="48" t="s">
        <v>453</v>
      </c>
      <c r="M151" s="48" t="s">
        <v>453</v>
      </c>
      <c r="N151" s="48">
        <v>6804910</v>
      </c>
      <c r="O151" s="48" t="s">
        <v>453</v>
      </c>
      <c r="P151" s="48" t="s">
        <v>453</v>
      </c>
      <c r="Q151" s="48">
        <v>3625289</v>
      </c>
      <c r="R151" s="10">
        <v>4123776</v>
      </c>
      <c r="S151" s="10">
        <v>1106492</v>
      </c>
      <c r="T151" s="10">
        <v>0</v>
      </c>
      <c r="U151" s="10">
        <v>0</v>
      </c>
      <c r="V151" s="10">
        <v>17020051</v>
      </c>
      <c r="W151" s="12">
        <v>6.0199999999999997E-2</v>
      </c>
      <c r="X151" s="10">
        <v>0</v>
      </c>
      <c r="Y151" s="22">
        <f>1361604/17020051</f>
        <v>7.9999995299661564E-2</v>
      </c>
      <c r="Z151" s="10">
        <v>1359573</v>
      </c>
      <c r="AA151" s="10">
        <v>0</v>
      </c>
      <c r="AB151" s="10">
        <f>39881+5199</f>
        <v>45080</v>
      </c>
      <c r="AC151" s="10">
        <v>609575</v>
      </c>
      <c r="AD151" s="10">
        <v>50772</v>
      </c>
      <c r="AE151" s="10">
        <v>88259</v>
      </c>
      <c r="AF151" s="10">
        <v>137210</v>
      </c>
      <c r="AG151" s="10">
        <v>5856</v>
      </c>
      <c r="AH151" s="10">
        <v>29293</v>
      </c>
      <c r="AI151" s="10">
        <v>13078</v>
      </c>
      <c r="AJ151" s="10">
        <v>30000</v>
      </c>
      <c r="AK151" s="10">
        <f>13263+11731+34875</f>
        <v>59869</v>
      </c>
      <c r="AL151" s="10">
        <v>13114</v>
      </c>
      <c r="AM151" s="10">
        <v>1637</v>
      </c>
      <c r="AN151" s="10">
        <v>100336</v>
      </c>
      <c r="AO151" s="10">
        <v>0</v>
      </c>
      <c r="AP151" s="10">
        <v>1225254</v>
      </c>
      <c r="AQ151" s="10">
        <v>1279674</v>
      </c>
      <c r="AR151" s="12">
        <f t="shared" si="13"/>
        <v>0</v>
      </c>
      <c r="AS151" s="10">
        <v>0</v>
      </c>
      <c r="AT151" s="10">
        <v>0</v>
      </c>
      <c r="AU151" s="10">
        <v>139662</v>
      </c>
      <c r="AV151" s="10">
        <v>0</v>
      </c>
      <c r="AW151" s="10">
        <v>170692</v>
      </c>
      <c r="AX151" s="10">
        <v>0</v>
      </c>
      <c r="AY151" s="10">
        <v>0</v>
      </c>
      <c r="AZ151" s="10">
        <v>0</v>
      </c>
      <c r="BA151" s="10">
        <v>2931</v>
      </c>
      <c r="BB151" s="10">
        <v>728</v>
      </c>
      <c r="BC151" s="10">
        <v>0</v>
      </c>
      <c r="BD151" s="10">
        <v>-1</v>
      </c>
      <c r="BE151" s="10">
        <v>-59</v>
      </c>
      <c r="BF151" s="10">
        <v>-380</v>
      </c>
      <c r="BG151" s="10">
        <v>-527</v>
      </c>
      <c r="BH151" s="10">
        <v>-3</v>
      </c>
      <c r="BI151" s="10">
        <f t="shared" si="14"/>
        <v>2689</v>
      </c>
      <c r="BJ151" s="1">
        <v>65</v>
      </c>
      <c r="BK151" s="1">
        <v>56</v>
      </c>
      <c r="BL151" s="1">
        <v>25</v>
      </c>
      <c r="BM151" s="1">
        <v>399</v>
      </c>
      <c r="BN151" s="1">
        <v>41</v>
      </c>
      <c r="BO151" s="1">
        <v>8</v>
      </c>
      <c r="BP151" s="1"/>
      <c r="BQ151" s="1"/>
      <c r="BR151" s="1">
        <v>12</v>
      </c>
      <c r="BS151" s="1">
        <v>22</v>
      </c>
      <c r="BT151" s="1"/>
      <c r="BU151" s="1">
        <v>1</v>
      </c>
      <c r="BV151" s="1">
        <v>6</v>
      </c>
      <c r="BW151" s="1">
        <v>30</v>
      </c>
      <c r="BX151" s="1">
        <v>171</v>
      </c>
      <c r="BY151" s="1">
        <v>4</v>
      </c>
    </row>
    <row r="152" spans="1:77">
      <c r="A152" s="1">
        <v>17</v>
      </c>
      <c r="B152" s="1" t="s">
        <v>183</v>
      </c>
      <c r="C152" s="1" t="s">
        <v>187</v>
      </c>
      <c r="D152" s="1" t="s">
        <v>109</v>
      </c>
      <c r="E152" s="1" t="s">
        <v>106</v>
      </c>
      <c r="F152" s="7" t="s">
        <v>478</v>
      </c>
      <c r="G152" s="7" t="s">
        <v>107</v>
      </c>
      <c r="H152" s="10">
        <v>45049689</v>
      </c>
      <c r="I152" s="10">
        <v>45202706</v>
      </c>
      <c r="J152" s="10">
        <v>1607386</v>
      </c>
      <c r="K152" s="48">
        <v>0</v>
      </c>
      <c r="L152" s="48">
        <v>0</v>
      </c>
      <c r="M152" s="48">
        <v>0</v>
      </c>
      <c r="N152" s="48">
        <v>19178567</v>
      </c>
      <c r="O152" s="48">
        <v>0</v>
      </c>
      <c r="P152" s="48">
        <v>0</v>
      </c>
      <c r="Q152" s="48">
        <v>8211826</v>
      </c>
      <c r="R152" s="10">
        <v>8946398</v>
      </c>
      <c r="S152" s="10">
        <v>5041996</v>
      </c>
      <c r="T152" s="10">
        <v>0</v>
      </c>
      <c r="U152" s="10">
        <v>0</v>
      </c>
      <c r="V152" s="10">
        <v>43267241</v>
      </c>
      <c r="W152" s="12">
        <v>8.2799999999999999E-2</v>
      </c>
      <c r="X152" s="10">
        <v>0</v>
      </c>
      <c r="Y152" s="22">
        <f>1857822/43267240</f>
        <v>4.2938306210426179E-2</v>
      </c>
      <c r="Z152" s="10">
        <v>1858101</v>
      </c>
      <c r="AA152" s="10">
        <v>0</v>
      </c>
      <c r="AB152" s="3">
        <v>153017</v>
      </c>
      <c r="AC152" s="10">
        <v>1011205</v>
      </c>
      <c r="AD152" s="10">
        <v>79644</v>
      </c>
      <c r="AE152" s="10">
        <v>149787</v>
      </c>
      <c r="AF152" s="10">
        <v>234405</v>
      </c>
      <c r="AG152" s="10">
        <v>0</v>
      </c>
      <c r="AH152" s="10">
        <v>25152</v>
      </c>
      <c r="AI152" s="10">
        <v>9553</v>
      </c>
      <c r="AJ152" s="10">
        <v>42636</v>
      </c>
      <c r="AK152" s="10">
        <f>22731+32356+51712</f>
        <v>106799</v>
      </c>
      <c r="AL152" s="10">
        <v>18748</v>
      </c>
      <c r="AM152" s="10">
        <v>31196</v>
      </c>
      <c r="AN152" s="10">
        <v>65859</v>
      </c>
      <c r="AO152" s="10">
        <v>0</v>
      </c>
      <c r="AP152" s="10">
        <v>1868220</v>
      </c>
      <c r="AQ152" s="10">
        <v>1922807</v>
      </c>
      <c r="AR152" s="12">
        <f t="shared" si="13"/>
        <v>0</v>
      </c>
      <c r="AS152" s="10">
        <v>0</v>
      </c>
      <c r="AT152" s="10">
        <v>0</v>
      </c>
      <c r="AU152" s="10">
        <v>139662</v>
      </c>
      <c r="AV152" s="10">
        <v>0</v>
      </c>
      <c r="AW152" s="10">
        <v>310785</v>
      </c>
      <c r="AX152" s="10">
        <v>0</v>
      </c>
      <c r="AY152" s="10">
        <v>0</v>
      </c>
      <c r="AZ152" s="10">
        <v>0</v>
      </c>
      <c r="BA152" s="10">
        <v>8648</v>
      </c>
      <c r="BB152" s="10">
        <v>2649</v>
      </c>
      <c r="BC152" s="10">
        <v>0</v>
      </c>
      <c r="BD152" s="10">
        <f>34-2</f>
        <v>32</v>
      </c>
      <c r="BE152" s="10">
        <v>-155</v>
      </c>
      <c r="BF152" s="10">
        <v>-1073</v>
      </c>
      <c r="BG152" s="10">
        <v>-1869</v>
      </c>
      <c r="BH152" s="10">
        <v>-28</v>
      </c>
      <c r="BI152" s="10">
        <f t="shared" si="14"/>
        <v>8204</v>
      </c>
      <c r="BJ152" s="1">
        <v>132</v>
      </c>
      <c r="BK152" s="1">
        <v>147</v>
      </c>
      <c r="BL152" s="1">
        <v>41</v>
      </c>
      <c r="BM152" s="1">
        <v>1650</v>
      </c>
      <c r="BN152" s="1">
        <v>31</v>
      </c>
      <c r="BO152" s="1">
        <v>0</v>
      </c>
      <c r="BP152" s="1" t="s">
        <v>455</v>
      </c>
      <c r="BQ152" s="1" t="s">
        <v>455</v>
      </c>
      <c r="BR152" s="1" t="s">
        <v>455</v>
      </c>
      <c r="BS152" s="1" t="s">
        <v>455</v>
      </c>
      <c r="BT152" s="1" t="s">
        <v>455</v>
      </c>
      <c r="BU152" s="1" t="s">
        <v>455</v>
      </c>
      <c r="BV152" s="1" t="s">
        <v>455</v>
      </c>
      <c r="BW152" s="1" t="s">
        <v>455</v>
      </c>
      <c r="BX152" s="1" t="s">
        <v>455</v>
      </c>
      <c r="BY152" s="1"/>
    </row>
    <row r="153" spans="1:77">
      <c r="A153" s="1">
        <v>17</v>
      </c>
      <c r="B153" s="1" t="s">
        <v>219</v>
      </c>
      <c r="C153" s="7" t="s">
        <v>394</v>
      </c>
      <c r="D153" s="1" t="s">
        <v>248</v>
      </c>
      <c r="E153" s="1" t="s">
        <v>106</v>
      </c>
      <c r="F153" s="7" t="s">
        <v>205</v>
      </c>
      <c r="G153" s="7" t="s">
        <v>107</v>
      </c>
      <c r="H153" s="10">
        <v>14750970</v>
      </c>
      <c r="I153" s="10">
        <v>14854497</v>
      </c>
      <c r="J153" s="10">
        <v>862468</v>
      </c>
      <c r="K153" s="48">
        <v>352324</v>
      </c>
      <c r="L153" s="48">
        <v>0</v>
      </c>
      <c r="M153" s="48">
        <v>554138</v>
      </c>
      <c r="N153" s="48">
        <v>6595647</v>
      </c>
      <c r="O153" s="48">
        <v>2074</v>
      </c>
      <c r="P153" s="48">
        <v>34983</v>
      </c>
      <c r="Q153" s="48">
        <v>1441704</v>
      </c>
      <c r="R153" s="10">
        <v>3311025</v>
      </c>
      <c r="S153" s="10">
        <v>696395</v>
      </c>
      <c r="T153" s="10">
        <v>35903</v>
      </c>
      <c r="U153" s="10">
        <v>0</v>
      </c>
      <c r="V153" s="10">
        <v>13949688</v>
      </c>
      <c r="W153" s="12">
        <v>0.13</v>
      </c>
      <c r="X153" s="10">
        <v>0</v>
      </c>
      <c r="Y153" s="22">
        <f>925495/13826723</f>
        <v>6.6935238378609305E-2</v>
      </c>
      <c r="Z153" s="10">
        <v>925495</v>
      </c>
      <c r="AA153" s="10">
        <v>0</v>
      </c>
      <c r="AB153" s="10">
        <f>103527+2096</f>
        <v>105623</v>
      </c>
      <c r="AC153" s="10">
        <v>411860</v>
      </c>
      <c r="AD153" s="10">
        <v>32989</v>
      </c>
      <c r="AE153" s="10">
        <v>62356</v>
      </c>
      <c r="AF153" s="10">
        <f>54152+7627</f>
        <v>61779</v>
      </c>
      <c r="AG153" s="10">
        <v>15521</v>
      </c>
      <c r="AH153" s="10">
        <v>39779</v>
      </c>
      <c r="AI153" s="10">
        <v>39036</v>
      </c>
      <c r="AJ153" s="10">
        <v>41469</v>
      </c>
      <c r="AK153" s="10">
        <f>8359+35544+52627</f>
        <v>96530</v>
      </c>
      <c r="AL153" s="10">
        <v>5162</v>
      </c>
      <c r="AM153" s="10">
        <v>1354</v>
      </c>
      <c r="AN153" s="10">
        <v>76518</v>
      </c>
      <c r="AO153" s="10">
        <v>0</v>
      </c>
      <c r="AP153" s="10">
        <v>940206</v>
      </c>
      <c r="AQ153" s="10">
        <v>944309</v>
      </c>
      <c r="AR153" s="12">
        <f t="shared" si="13"/>
        <v>0</v>
      </c>
      <c r="AS153" s="10">
        <v>0</v>
      </c>
      <c r="AT153" s="10">
        <v>0</v>
      </c>
      <c r="AU153" s="10">
        <v>139662</v>
      </c>
      <c r="AV153" s="10">
        <v>0</v>
      </c>
      <c r="AW153" s="10">
        <v>120120</v>
      </c>
      <c r="AX153" s="10">
        <v>0</v>
      </c>
      <c r="AY153" s="10">
        <v>0</v>
      </c>
      <c r="AZ153" s="10">
        <v>0</v>
      </c>
      <c r="BA153" s="10">
        <v>2230</v>
      </c>
      <c r="BB153" s="10">
        <v>1008</v>
      </c>
      <c r="BC153" s="10">
        <v>23</v>
      </c>
      <c r="BD153" s="10">
        <v>0</v>
      </c>
      <c r="BE153" s="10">
        <v>-156</v>
      </c>
      <c r="BF153" s="10">
        <v>-323</v>
      </c>
      <c r="BG153" s="10">
        <v>-207</v>
      </c>
      <c r="BH153" s="10">
        <v>-1</v>
      </c>
      <c r="BI153" s="10">
        <f t="shared" si="14"/>
        <v>2574</v>
      </c>
      <c r="BJ153" s="1">
        <v>67</v>
      </c>
      <c r="BK153" s="1">
        <v>93</v>
      </c>
      <c r="BL153" s="1">
        <v>16</v>
      </c>
      <c r="BM153" s="1">
        <v>53</v>
      </c>
      <c r="BN153" s="1">
        <v>34</v>
      </c>
      <c r="BO153" s="1">
        <v>3</v>
      </c>
      <c r="BP153" s="1" t="s">
        <v>455</v>
      </c>
      <c r="BQ153" s="1" t="s">
        <v>455</v>
      </c>
      <c r="BR153" s="1" t="s">
        <v>455</v>
      </c>
      <c r="BS153" s="1" t="s">
        <v>455</v>
      </c>
      <c r="BT153" s="1" t="s">
        <v>455</v>
      </c>
      <c r="BU153" s="1" t="s">
        <v>455</v>
      </c>
      <c r="BV153" s="1" t="s">
        <v>455</v>
      </c>
      <c r="BW153" s="1" t="s">
        <v>455</v>
      </c>
      <c r="BX153" s="1" t="s">
        <v>455</v>
      </c>
      <c r="BY153" s="1" t="s">
        <v>453</v>
      </c>
    </row>
    <row r="154" spans="1:77">
      <c r="A154" s="31">
        <v>17</v>
      </c>
      <c r="B154" s="7" t="s">
        <v>269</v>
      </c>
      <c r="C154" s="7" t="s">
        <v>580</v>
      </c>
      <c r="D154" s="7" t="s">
        <v>440</v>
      </c>
      <c r="E154" s="7" t="s">
        <v>106</v>
      </c>
      <c r="F154" s="7" t="s">
        <v>205</v>
      </c>
      <c r="G154" s="7" t="s">
        <v>107</v>
      </c>
      <c r="H154" s="10">
        <v>9751134</v>
      </c>
      <c r="I154" s="10">
        <v>10323738</v>
      </c>
      <c r="J154" s="10">
        <v>208670</v>
      </c>
      <c r="K154" s="48">
        <v>592388</v>
      </c>
      <c r="L154" s="48"/>
      <c r="M154" s="48">
        <v>4686518</v>
      </c>
      <c r="N154" s="48">
        <v>0</v>
      </c>
      <c r="O154" s="48">
        <v>0</v>
      </c>
      <c r="P154" s="48">
        <v>1079762</v>
      </c>
      <c r="Q154" s="48">
        <v>0</v>
      </c>
      <c r="R154" s="10">
        <v>1859085</v>
      </c>
      <c r="S154" s="10">
        <v>590368</v>
      </c>
      <c r="T154" s="10">
        <v>13523</v>
      </c>
      <c r="U154" s="10">
        <v>0</v>
      </c>
      <c r="V154" s="10">
        <v>9492652</v>
      </c>
      <c r="W154" s="12">
        <v>6.0100000000000001E-2</v>
      </c>
      <c r="X154" s="10">
        <v>592388</v>
      </c>
      <c r="Y154" s="22">
        <f>668760/8886741</f>
        <v>7.525368411209464E-2</v>
      </c>
      <c r="Z154" s="10">
        <v>666823</v>
      </c>
      <c r="AA154" s="10">
        <v>0</v>
      </c>
      <c r="AB154" s="10">
        <f>36456+1089</f>
        <v>37545</v>
      </c>
      <c r="AC154" s="10">
        <v>267689</v>
      </c>
      <c r="AD154" s="10">
        <v>23911</v>
      </c>
      <c r="AE154" s="10">
        <v>46928</v>
      </c>
      <c r="AF154" s="10">
        <f>57872+6234</f>
        <v>64106</v>
      </c>
      <c r="AG154" s="10">
        <v>7597</v>
      </c>
      <c r="AH154" s="10">
        <v>19319</v>
      </c>
      <c r="AI154" s="10">
        <v>6035</v>
      </c>
      <c r="AJ154" s="10">
        <v>7421</v>
      </c>
      <c r="AK154" s="10">
        <f>10345+28326+25916</f>
        <v>64587</v>
      </c>
      <c r="AL154" s="10">
        <v>9979</v>
      </c>
      <c r="AM154" s="10">
        <v>10307</v>
      </c>
      <c r="AN154" s="10">
        <v>13215</v>
      </c>
      <c r="AO154" s="10">
        <v>0</v>
      </c>
      <c r="AP154" s="10">
        <v>567111</v>
      </c>
      <c r="AQ154" s="10">
        <v>712938</v>
      </c>
      <c r="AR154" s="12">
        <f t="shared" si="13"/>
        <v>0</v>
      </c>
      <c r="AS154" s="10">
        <v>40</v>
      </c>
      <c r="AT154" s="10">
        <v>0</v>
      </c>
      <c r="AU154" s="10">
        <v>93521</v>
      </c>
      <c r="AV154" s="10">
        <v>0</v>
      </c>
      <c r="AW154" s="10">
        <v>139368</v>
      </c>
      <c r="AX154" s="10">
        <v>0</v>
      </c>
      <c r="AY154" s="10">
        <v>0</v>
      </c>
      <c r="AZ154" s="10">
        <v>0</v>
      </c>
      <c r="BA154" s="10">
        <v>2458</v>
      </c>
      <c r="BB154" s="10">
        <v>650</v>
      </c>
      <c r="BC154" s="10">
        <v>0</v>
      </c>
      <c r="BD154" s="10">
        <v>-2</v>
      </c>
      <c r="BE154" s="10">
        <v>-84</v>
      </c>
      <c r="BF154" s="10">
        <v>-286</v>
      </c>
      <c r="BG154" s="10">
        <v>-218</v>
      </c>
      <c r="BH154" s="10">
        <v>0</v>
      </c>
      <c r="BI154" s="10">
        <f t="shared" si="14"/>
        <v>2518</v>
      </c>
      <c r="BJ154" s="1">
        <v>12</v>
      </c>
      <c r="BK154" s="1">
        <v>55</v>
      </c>
      <c r="BL154" s="1">
        <v>11</v>
      </c>
      <c r="BM154" s="1">
        <v>84</v>
      </c>
      <c r="BN154" s="1">
        <v>24</v>
      </c>
      <c r="BO154" s="1">
        <v>0</v>
      </c>
      <c r="BP154" s="1">
        <v>17</v>
      </c>
      <c r="BQ154" s="1">
        <v>3</v>
      </c>
      <c r="BR154" s="1">
        <v>19</v>
      </c>
      <c r="BS154" s="1">
        <v>25</v>
      </c>
      <c r="BT154" s="1">
        <v>0</v>
      </c>
      <c r="BU154" s="1">
        <v>72</v>
      </c>
      <c r="BV154" s="1">
        <v>10</v>
      </c>
      <c r="BW154" s="1">
        <v>53</v>
      </c>
      <c r="BX154" s="1">
        <v>45</v>
      </c>
      <c r="BY154" s="1">
        <v>0</v>
      </c>
    </row>
    <row r="155" spans="1:77">
      <c r="A155" s="1">
        <v>17</v>
      </c>
      <c r="B155" s="1" t="s">
        <v>335</v>
      </c>
      <c r="C155" s="7" t="s">
        <v>325</v>
      </c>
      <c r="D155" s="1" t="s">
        <v>581</v>
      </c>
      <c r="E155" s="1" t="s">
        <v>106</v>
      </c>
      <c r="F155" s="7" t="s">
        <v>205</v>
      </c>
      <c r="G155" s="7" t="s">
        <v>107</v>
      </c>
      <c r="H155" s="10">
        <v>14680189</v>
      </c>
      <c r="I155" s="10">
        <v>14754947</v>
      </c>
      <c r="J155" s="10">
        <v>720658</v>
      </c>
      <c r="K155" s="48">
        <v>0</v>
      </c>
      <c r="L155" s="48">
        <v>0</v>
      </c>
      <c r="M155" s="48">
        <v>0</v>
      </c>
      <c r="N155" s="48">
        <v>6359145</v>
      </c>
      <c r="O155" s="48">
        <v>0</v>
      </c>
      <c r="P155" s="48">
        <v>0</v>
      </c>
      <c r="Q155" s="48">
        <v>2365268</v>
      </c>
      <c r="R155" s="10">
        <v>3091062</v>
      </c>
      <c r="S155" s="10">
        <v>1077998</v>
      </c>
      <c r="T155" s="10">
        <v>39629</v>
      </c>
      <c r="U155" s="10">
        <v>12616</v>
      </c>
      <c r="V155" s="10">
        <v>14066221</v>
      </c>
      <c r="W155" s="12">
        <v>7.7899999999999997E-2</v>
      </c>
      <c r="X155" s="10">
        <v>0</v>
      </c>
      <c r="Y155" s="22">
        <f>1099758/14004487</f>
        <v>7.8528974320873024E-2</v>
      </c>
      <c r="Z155" s="10">
        <v>1099251</v>
      </c>
      <c r="AA155" s="10">
        <v>0</v>
      </c>
      <c r="AB155" s="10">
        <f>62142+12616+2335</f>
        <v>77093</v>
      </c>
      <c r="AC155" s="10">
        <v>558674</v>
      </c>
      <c r="AD155" s="10">
        <v>53690</v>
      </c>
      <c r="AE155" s="10">
        <v>99707</v>
      </c>
      <c r="AF155" s="10">
        <f>99271+91</f>
        <v>99362</v>
      </c>
      <c r="AG155" s="10">
        <v>4065</v>
      </c>
      <c r="AH155" s="10">
        <v>29511</v>
      </c>
      <c r="AI155" s="10">
        <v>34651</v>
      </c>
      <c r="AJ155" s="10">
        <v>23177</v>
      </c>
      <c r="AK155" s="10">
        <f>11996+19371+16836</f>
        <v>48203</v>
      </c>
      <c r="AL155" s="10">
        <v>20054</v>
      </c>
      <c r="AM155" s="10">
        <v>22635</v>
      </c>
      <c r="AN155" s="10">
        <v>22044</v>
      </c>
      <c r="AO155" s="10">
        <v>0</v>
      </c>
      <c r="AP155" s="10">
        <v>1095049</v>
      </c>
      <c r="AQ155" s="10">
        <v>1265662</v>
      </c>
      <c r="AR155" s="12">
        <f t="shared" si="13"/>
        <v>0</v>
      </c>
      <c r="AS155" s="10">
        <v>785</v>
      </c>
      <c r="AT155" s="10">
        <v>0</v>
      </c>
      <c r="AU155" s="10">
        <v>139662</v>
      </c>
      <c r="AV155" s="10">
        <v>0</v>
      </c>
      <c r="AW155" s="10">
        <v>140226</v>
      </c>
      <c r="AX155" s="10">
        <v>0</v>
      </c>
      <c r="AY155" s="10">
        <v>0</v>
      </c>
      <c r="AZ155" s="10">
        <v>0</v>
      </c>
      <c r="BA155" s="10">
        <v>2597</v>
      </c>
      <c r="BB155" s="10">
        <v>1241</v>
      </c>
      <c r="BC155" s="10">
        <v>0</v>
      </c>
      <c r="BD155" s="10">
        <f>6-33</f>
        <v>-27</v>
      </c>
      <c r="BE155" s="10">
        <v>-131</v>
      </c>
      <c r="BF155" s="10">
        <v>-557</v>
      </c>
      <c r="BG155" s="10">
        <v>-412</v>
      </c>
      <c r="BH155" s="10">
        <v>-9</v>
      </c>
      <c r="BI155" s="10">
        <f t="shared" si="14"/>
        <v>2702</v>
      </c>
      <c r="BJ155" s="1">
        <v>21</v>
      </c>
      <c r="BK155" s="1">
        <v>152</v>
      </c>
      <c r="BL155" s="1">
        <v>26</v>
      </c>
      <c r="BM155" s="1">
        <v>145</v>
      </c>
      <c r="BN155" s="1">
        <v>27</v>
      </c>
      <c r="BO155" s="1">
        <v>0</v>
      </c>
      <c r="BP155" s="1" t="s">
        <v>453</v>
      </c>
      <c r="BQ155" s="1" t="s">
        <v>453</v>
      </c>
      <c r="BR155" s="1" t="s">
        <v>453</v>
      </c>
      <c r="BS155" s="1" t="s">
        <v>453</v>
      </c>
      <c r="BT155" s="1" t="s">
        <v>453</v>
      </c>
      <c r="BU155" s="1" t="s">
        <v>453</v>
      </c>
      <c r="BV155" s="1" t="s">
        <v>453</v>
      </c>
      <c r="BW155" s="1" t="s">
        <v>453</v>
      </c>
      <c r="BX155" s="1" t="s">
        <v>453</v>
      </c>
      <c r="BY155" s="1" t="s">
        <v>453</v>
      </c>
    </row>
    <row r="156" spans="1:77">
      <c r="A156" s="1">
        <v>17</v>
      </c>
      <c r="B156" s="1" t="s">
        <v>336</v>
      </c>
      <c r="C156" s="7" t="s">
        <v>325</v>
      </c>
      <c r="D156" s="1" t="s">
        <v>554</v>
      </c>
      <c r="E156" s="1" t="s">
        <v>482</v>
      </c>
      <c r="F156" s="7"/>
      <c r="G156" s="7" t="s">
        <v>464</v>
      </c>
      <c r="H156" s="10">
        <v>745575</v>
      </c>
      <c r="I156" s="10">
        <v>748024</v>
      </c>
      <c r="J156" s="10">
        <v>40590</v>
      </c>
      <c r="K156" s="48">
        <v>0</v>
      </c>
      <c r="L156" s="48">
        <v>0</v>
      </c>
      <c r="M156" s="48">
        <v>0</v>
      </c>
      <c r="N156" s="48">
        <v>235838</v>
      </c>
      <c r="O156" s="48">
        <v>0</v>
      </c>
      <c r="P156" s="48">
        <v>0</v>
      </c>
      <c r="Q156" s="48">
        <v>34687</v>
      </c>
      <c r="R156" s="10">
        <v>57023</v>
      </c>
      <c r="S156" s="10">
        <v>179041</v>
      </c>
      <c r="T156" s="10">
        <v>1207</v>
      </c>
      <c r="U156" s="10">
        <v>0</v>
      </c>
      <c r="V156" s="10">
        <v>564544</v>
      </c>
      <c r="W156" s="12">
        <v>0.57030000000000003</v>
      </c>
      <c r="X156" s="10">
        <v>0</v>
      </c>
      <c r="Y156" s="22">
        <f>56334/563336</f>
        <v>0.10000071005581039</v>
      </c>
      <c r="Z156" s="10">
        <v>56746</v>
      </c>
      <c r="AA156" s="10">
        <v>0</v>
      </c>
      <c r="AB156" s="10">
        <f>2449+104</f>
        <v>2553</v>
      </c>
      <c r="AC156" s="10">
        <v>19763</v>
      </c>
      <c r="AD156" s="10">
        <v>4795</v>
      </c>
      <c r="AE156" s="10">
        <v>0</v>
      </c>
      <c r="AF156" s="10">
        <f>4218+289</f>
        <v>4507</v>
      </c>
      <c r="AG156" s="10">
        <v>98</v>
      </c>
      <c r="AH156" s="10">
        <v>0</v>
      </c>
      <c r="AI156" s="10">
        <v>18335</v>
      </c>
      <c r="AJ156" s="10">
        <v>0</v>
      </c>
      <c r="AK156" s="10">
        <f>1886+834+1317</f>
        <v>4037</v>
      </c>
      <c r="AL156" s="10">
        <v>295</v>
      </c>
      <c r="AM156" s="10">
        <v>0</v>
      </c>
      <c r="AN156" s="10">
        <v>8308</v>
      </c>
      <c r="AO156" s="10">
        <v>0</v>
      </c>
      <c r="AP156" s="10">
        <v>61884</v>
      </c>
      <c r="AQ156" s="10">
        <v>113143</v>
      </c>
      <c r="AR156" s="12">
        <f t="shared" si="13"/>
        <v>0</v>
      </c>
      <c r="AS156" s="10">
        <v>0</v>
      </c>
      <c r="AT156" s="10">
        <v>0</v>
      </c>
      <c r="AU156" s="10">
        <v>0</v>
      </c>
      <c r="AV156" s="10">
        <v>0</v>
      </c>
      <c r="AW156" s="10">
        <v>12674</v>
      </c>
      <c r="AX156" s="10">
        <v>0</v>
      </c>
      <c r="AY156" s="10">
        <v>0</v>
      </c>
      <c r="AZ156" s="10">
        <v>0</v>
      </c>
      <c r="BA156" s="10">
        <v>394</v>
      </c>
      <c r="BB156" s="10">
        <v>175</v>
      </c>
      <c r="BC156" s="10">
        <v>0</v>
      </c>
      <c r="BD156" s="10">
        <v>1</v>
      </c>
      <c r="BE156" s="10">
        <v>-12</v>
      </c>
      <c r="BF156" s="10">
        <v>-12</v>
      </c>
      <c r="BG156" s="10">
        <v>-28</v>
      </c>
      <c r="BH156" s="10">
        <v>0</v>
      </c>
      <c r="BI156" s="10">
        <f t="shared" si="14"/>
        <v>518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 t="s">
        <v>453</v>
      </c>
      <c r="BQ156" s="1" t="s">
        <v>453</v>
      </c>
      <c r="BR156" s="1" t="s">
        <v>453</v>
      </c>
      <c r="BS156" s="1" t="s">
        <v>453</v>
      </c>
      <c r="BT156" s="1" t="s">
        <v>453</v>
      </c>
      <c r="BU156" s="1" t="s">
        <v>453</v>
      </c>
      <c r="BV156" s="1" t="s">
        <v>453</v>
      </c>
      <c r="BW156" s="1" t="s">
        <v>453</v>
      </c>
      <c r="BX156" s="1" t="s">
        <v>453</v>
      </c>
      <c r="BY156" s="1" t="s">
        <v>453</v>
      </c>
    </row>
    <row r="157" spans="1:77">
      <c r="A157" s="1">
        <v>17</v>
      </c>
      <c r="B157" s="1" t="s">
        <v>383</v>
      </c>
      <c r="C157" s="7" t="s">
        <v>376</v>
      </c>
      <c r="D157" s="1" t="s">
        <v>581</v>
      </c>
      <c r="E157" s="1" t="s">
        <v>106</v>
      </c>
      <c r="F157" s="7" t="s">
        <v>205</v>
      </c>
      <c r="G157" s="7" t="s">
        <v>107</v>
      </c>
      <c r="H157" s="10">
        <v>13946016</v>
      </c>
      <c r="I157" s="10">
        <v>13995572</v>
      </c>
      <c r="J157" s="10">
        <v>765652</v>
      </c>
      <c r="K157" s="48" t="s">
        <v>453</v>
      </c>
      <c r="L157" s="48" t="s">
        <v>453</v>
      </c>
      <c r="M157" s="48">
        <v>6199546</v>
      </c>
      <c r="N157" s="48" t="s">
        <v>453</v>
      </c>
      <c r="O157" s="48" t="s">
        <v>453</v>
      </c>
      <c r="P157" s="48">
        <v>1851103</v>
      </c>
      <c r="Q157" s="48" t="s">
        <v>453</v>
      </c>
      <c r="R157" s="10">
        <v>3055891</v>
      </c>
      <c r="S157" s="10">
        <v>1097520</v>
      </c>
      <c r="T157" s="10">
        <v>48248</v>
      </c>
      <c r="U157" s="10">
        <v>14674</v>
      </c>
      <c r="V157" s="10">
        <v>13334741</v>
      </c>
      <c r="W157" s="12">
        <v>8.0100000000000005E-2</v>
      </c>
      <c r="X157" s="10">
        <v>0</v>
      </c>
      <c r="Y157" s="22">
        <f>1055513/13195214</f>
        <v>7.999210926022117E-2</v>
      </c>
      <c r="Z157" s="10">
        <v>1058005</v>
      </c>
      <c r="AA157" s="10">
        <v>0</v>
      </c>
      <c r="AB157" s="10">
        <f>49556+3474</f>
        <v>53030</v>
      </c>
      <c r="AC157" s="10">
        <v>591280</v>
      </c>
      <c r="AD157" s="10">
        <v>48511</v>
      </c>
      <c r="AE157" s="10">
        <v>74504</v>
      </c>
      <c r="AF157" s="10">
        <v>110059</v>
      </c>
      <c r="AG157" s="10">
        <v>11127</v>
      </c>
      <c r="AH157" s="10">
        <v>18360</v>
      </c>
      <c r="AI157" s="10">
        <v>14159</v>
      </c>
      <c r="AJ157" s="10">
        <v>33840</v>
      </c>
      <c r="AK157" s="10">
        <f>25518+26000+37711</f>
        <v>89229</v>
      </c>
      <c r="AL157" s="10">
        <v>11930</v>
      </c>
      <c r="AM157" s="10">
        <v>13689</v>
      </c>
      <c r="AN157" s="10">
        <v>13070</v>
      </c>
      <c r="AO157" s="10">
        <v>0</v>
      </c>
      <c r="AP157" s="10">
        <v>1110500</v>
      </c>
      <c r="AQ157" s="10">
        <v>1172491</v>
      </c>
      <c r="AR157" s="12">
        <f t="shared" si="13"/>
        <v>0</v>
      </c>
      <c r="AS157" s="10">
        <v>0</v>
      </c>
      <c r="AT157" s="10">
        <v>0</v>
      </c>
      <c r="AU157" s="10">
        <v>139662</v>
      </c>
      <c r="AV157" s="10">
        <v>0</v>
      </c>
      <c r="AW157" s="10">
        <v>120456</v>
      </c>
      <c r="AX157" s="10">
        <v>0</v>
      </c>
      <c r="AY157" s="10">
        <v>0</v>
      </c>
      <c r="AZ157" s="10">
        <v>0</v>
      </c>
      <c r="BA157" s="10">
        <v>3080</v>
      </c>
      <c r="BB157" s="10">
        <v>1387</v>
      </c>
      <c r="BC157" s="10">
        <v>0</v>
      </c>
      <c r="BD157" s="10">
        <f>9-6</f>
        <v>3</v>
      </c>
      <c r="BE157" s="10">
        <v>-233</v>
      </c>
      <c r="BF157" s="10">
        <v>-1195</v>
      </c>
      <c r="BG157" s="10">
        <v>-316</v>
      </c>
      <c r="BH157" s="10">
        <v>-4</v>
      </c>
      <c r="BI157" s="10">
        <f t="shared" si="14"/>
        <v>2722</v>
      </c>
      <c r="BJ157" s="1">
        <v>9</v>
      </c>
      <c r="BK157" s="1">
        <v>141</v>
      </c>
      <c r="BL157" s="1">
        <v>15</v>
      </c>
      <c r="BM157" s="1">
        <v>122</v>
      </c>
      <c r="BN157" s="1">
        <v>38</v>
      </c>
      <c r="BO157" s="1">
        <v>1</v>
      </c>
      <c r="BP157" s="1">
        <v>24</v>
      </c>
      <c r="BQ157" s="1">
        <v>8</v>
      </c>
      <c r="BR157" s="1">
        <v>32</v>
      </c>
      <c r="BS157" s="1">
        <v>31</v>
      </c>
      <c r="BT157" s="1">
        <v>0</v>
      </c>
      <c r="BU157" s="1">
        <v>186</v>
      </c>
      <c r="BV157" s="1">
        <v>25</v>
      </c>
      <c r="BW157" s="1">
        <v>81</v>
      </c>
      <c r="BX157" s="1">
        <v>183</v>
      </c>
      <c r="BY157" s="1">
        <v>1</v>
      </c>
    </row>
    <row r="158" spans="1:77">
      <c r="A158" s="1">
        <v>17</v>
      </c>
      <c r="B158" s="1" t="s">
        <v>411</v>
      </c>
      <c r="C158" s="7" t="s">
        <v>346</v>
      </c>
      <c r="D158" s="1" t="s">
        <v>370</v>
      </c>
      <c r="E158" s="1" t="s">
        <v>482</v>
      </c>
      <c r="F158" s="7"/>
      <c r="G158" s="7" t="s">
        <v>464</v>
      </c>
      <c r="H158" s="10">
        <v>27937235</v>
      </c>
      <c r="I158" s="10">
        <v>28162403</v>
      </c>
      <c r="J158" s="10">
        <v>1171782</v>
      </c>
      <c r="K158" s="48">
        <v>4051</v>
      </c>
      <c r="L158" s="48">
        <v>3193697</v>
      </c>
      <c r="M158" s="48">
        <v>7372695</v>
      </c>
      <c r="N158" s="48">
        <v>0</v>
      </c>
      <c r="O158" s="48">
        <v>0</v>
      </c>
      <c r="P158" s="48">
        <v>4413658</v>
      </c>
      <c r="Q158" s="48">
        <v>0</v>
      </c>
      <c r="R158" s="10">
        <v>7226754</v>
      </c>
      <c r="S158" s="10">
        <v>3516489</v>
      </c>
      <c r="T158" s="10">
        <v>88763</v>
      </c>
      <c r="U158" s="10">
        <v>0</v>
      </c>
      <c r="V158" s="10">
        <v>27451930</v>
      </c>
      <c r="W158" s="12">
        <v>0.1799</v>
      </c>
      <c r="X158" s="10">
        <v>0</v>
      </c>
      <c r="Y158" s="22">
        <f>1554535/27317968</f>
        <v>5.6905220768982523E-2</v>
      </c>
      <c r="Z158" s="10">
        <v>1543905</v>
      </c>
      <c r="AA158" s="10">
        <v>0</v>
      </c>
      <c r="AB158" s="10">
        <f>225168+15937</f>
        <v>241105</v>
      </c>
      <c r="AC158" s="10">
        <v>917424</v>
      </c>
      <c r="AD158" s="10">
        <v>74868</v>
      </c>
      <c r="AE158" s="10">
        <v>111034</v>
      </c>
      <c r="AF158" s="10">
        <v>168323</v>
      </c>
      <c r="AG158" s="10">
        <v>0</v>
      </c>
      <c r="AH158" s="10">
        <v>22032</v>
      </c>
      <c r="AI158" s="10">
        <v>37877</v>
      </c>
      <c r="AJ158" s="10">
        <v>0</v>
      </c>
      <c r="AK158" s="10">
        <f>27968+46826+68958</f>
        <v>143752</v>
      </c>
      <c r="AL158" s="10">
        <v>19550</v>
      </c>
      <c r="AM158" s="10">
        <v>22831</v>
      </c>
      <c r="AN158" s="10">
        <v>66601</v>
      </c>
      <c r="AO158" s="10">
        <v>0</v>
      </c>
      <c r="AP158" s="10">
        <v>1649317</v>
      </c>
      <c r="AQ158" s="10">
        <v>1660721</v>
      </c>
      <c r="AR158" s="12">
        <f t="shared" si="13"/>
        <v>0</v>
      </c>
      <c r="AS158" s="10">
        <v>44</v>
      </c>
      <c r="AT158" s="10">
        <v>0</v>
      </c>
      <c r="AU158" s="10">
        <v>139662</v>
      </c>
      <c r="AV158" s="10">
        <v>0</v>
      </c>
      <c r="AW158" s="10">
        <v>262299</v>
      </c>
      <c r="AX158" s="10">
        <v>0</v>
      </c>
      <c r="AY158" s="10">
        <v>0</v>
      </c>
      <c r="AZ158" s="10">
        <v>0</v>
      </c>
      <c r="BA158" s="10">
        <v>7979</v>
      </c>
      <c r="BB158" s="10">
        <v>3216</v>
      </c>
      <c r="BC158" s="10">
        <v>0</v>
      </c>
      <c r="BD158" s="10">
        <v>19</v>
      </c>
      <c r="BE158" s="10">
        <v>-294</v>
      </c>
      <c r="BF158" s="10">
        <v>-1687</v>
      </c>
      <c r="BG158" s="10">
        <v>-626</v>
      </c>
      <c r="BH158" s="10">
        <v>-11</v>
      </c>
      <c r="BI158" s="10">
        <f t="shared" si="14"/>
        <v>8596</v>
      </c>
      <c r="BJ158" s="1">
        <v>96</v>
      </c>
      <c r="BK158" s="1">
        <v>99</v>
      </c>
      <c r="BL158" s="1">
        <v>39</v>
      </c>
      <c r="BM158" s="1">
        <v>337</v>
      </c>
      <c r="BN158" s="1">
        <v>142</v>
      </c>
      <c r="BO158" s="1">
        <v>9</v>
      </c>
      <c r="BP158" s="1" t="s">
        <v>453</v>
      </c>
      <c r="BQ158" s="1" t="s">
        <v>453</v>
      </c>
      <c r="BR158" s="1" t="s">
        <v>453</v>
      </c>
      <c r="BS158" s="1" t="s">
        <v>453</v>
      </c>
      <c r="BT158" s="1" t="s">
        <v>453</v>
      </c>
      <c r="BU158" s="1" t="s">
        <v>453</v>
      </c>
      <c r="BV158" s="1" t="s">
        <v>453</v>
      </c>
      <c r="BW158" s="1" t="s">
        <v>453</v>
      </c>
      <c r="BX158" s="1" t="s">
        <v>453</v>
      </c>
      <c r="BY158" s="1" t="s">
        <v>453</v>
      </c>
    </row>
    <row r="159" spans="1:77">
      <c r="A159" s="1">
        <v>17</v>
      </c>
      <c r="B159" s="1" t="s">
        <v>421</v>
      </c>
      <c r="C159" s="7" t="s">
        <v>424</v>
      </c>
      <c r="D159" s="1" t="s">
        <v>440</v>
      </c>
      <c r="E159" s="1" t="s">
        <v>106</v>
      </c>
      <c r="F159" s="7" t="s">
        <v>205</v>
      </c>
      <c r="G159" s="7" t="s">
        <v>107</v>
      </c>
      <c r="H159" s="10">
        <v>4814458</v>
      </c>
      <c r="I159" s="10">
        <v>4832487</v>
      </c>
      <c r="J159" s="10">
        <v>97781</v>
      </c>
      <c r="K159" s="48">
        <v>355133</v>
      </c>
      <c r="L159" s="48">
        <v>0</v>
      </c>
      <c r="M159" s="48">
        <v>2268040</v>
      </c>
      <c r="N159" s="48">
        <v>0</v>
      </c>
      <c r="O159" s="48">
        <v>0</v>
      </c>
      <c r="P159" s="48">
        <v>0</v>
      </c>
      <c r="Q159" s="48">
        <v>620362</v>
      </c>
      <c r="R159" s="10">
        <v>830741</v>
      </c>
      <c r="S159" s="10">
        <v>296196</v>
      </c>
      <c r="T159" s="10">
        <v>6811</v>
      </c>
      <c r="U159" s="10">
        <v>0</v>
      </c>
      <c r="V159" s="10">
        <v>5253139</v>
      </c>
      <c r="W159" s="12">
        <v>0</v>
      </c>
      <c r="X159" s="10">
        <v>355133</v>
      </c>
      <c r="Y159" s="22">
        <f>339694/4355047</f>
        <v>7.8000076692628123E-2</v>
      </c>
      <c r="Z159" s="10">
        <v>338420</v>
      </c>
      <c r="AA159" s="10">
        <v>0</v>
      </c>
      <c r="AB159" s="10">
        <f>18029+388</f>
        <v>18417</v>
      </c>
      <c r="AC159" s="10">
        <v>199346</v>
      </c>
      <c r="AD159" s="10">
        <v>19638</v>
      </c>
      <c r="AE159" s="10">
        <v>44157</v>
      </c>
      <c r="AF159" s="10">
        <f>30486+3101</f>
        <v>33587</v>
      </c>
      <c r="AG159" s="10">
        <v>0</v>
      </c>
      <c r="AH159" s="10">
        <v>6324</v>
      </c>
      <c r="AI159" s="10">
        <v>21637</v>
      </c>
      <c r="AJ159" s="10">
        <v>4376</v>
      </c>
      <c r="AK159" s="10">
        <f>8080+8373+4514</f>
        <v>20967</v>
      </c>
      <c r="AL159" s="10">
        <v>340</v>
      </c>
      <c r="AM159" s="10">
        <v>8138</v>
      </c>
      <c r="AN159" s="10">
        <v>14795</v>
      </c>
      <c r="AO159" s="10">
        <v>0</v>
      </c>
      <c r="AP159" s="10">
        <v>484155</v>
      </c>
      <c r="AQ159" s="10">
        <v>404517</v>
      </c>
      <c r="AR159" s="12">
        <f t="shared" si="13"/>
        <v>0</v>
      </c>
      <c r="AS159" s="10">
        <v>0</v>
      </c>
      <c r="AT159" s="10">
        <v>0</v>
      </c>
      <c r="AU159" s="10">
        <v>43273</v>
      </c>
      <c r="AV159" s="10">
        <v>0</v>
      </c>
      <c r="AW159" s="10">
        <v>0</v>
      </c>
      <c r="AX159" s="10">
        <v>0</v>
      </c>
      <c r="AY159" s="10">
        <v>0</v>
      </c>
      <c r="AZ159" s="10">
        <v>0</v>
      </c>
      <c r="BA159" s="10">
        <v>2469</v>
      </c>
      <c r="BB159" s="10">
        <v>295</v>
      </c>
      <c r="BC159" s="10">
        <v>0</v>
      </c>
      <c r="BD159" s="10">
        <v>0</v>
      </c>
      <c r="BE159" s="10">
        <v>-39</v>
      </c>
      <c r="BF159" s="10">
        <v>-120</v>
      </c>
      <c r="BG159" s="10">
        <v>-147</v>
      </c>
      <c r="BH159" s="10">
        <v>0</v>
      </c>
      <c r="BI159" s="10">
        <f t="shared" si="14"/>
        <v>2458</v>
      </c>
      <c r="BJ159" s="1">
        <v>40</v>
      </c>
      <c r="BK159" s="1">
        <v>40</v>
      </c>
      <c r="BL159" s="1">
        <v>7</v>
      </c>
      <c r="BM159" s="1">
        <v>63</v>
      </c>
      <c r="BN159" s="1">
        <v>6</v>
      </c>
      <c r="BO159" s="1">
        <v>0</v>
      </c>
      <c r="BP159" s="1">
        <v>7</v>
      </c>
      <c r="BQ159" s="1">
        <v>2</v>
      </c>
      <c r="BR159" s="1">
        <v>17</v>
      </c>
      <c r="BS159" s="1">
        <v>5</v>
      </c>
      <c r="BT159" s="1">
        <v>0</v>
      </c>
      <c r="BU159" s="1">
        <v>40</v>
      </c>
      <c r="BV159" s="1">
        <v>5</v>
      </c>
      <c r="BW159" s="1">
        <v>33</v>
      </c>
      <c r="BX159" s="1">
        <v>57</v>
      </c>
      <c r="BY159" s="1">
        <v>0</v>
      </c>
    </row>
    <row r="160" spans="1:77">
      <c r="A160" s="31">
        <v>17</v>
      </c>
      <c r="B160" s="7" t="s">
        <v>422</v>
      </c>
      <c r="C160" s="7" t="s">
        <v>424</v>
      </c>
      <c r="D160" s="7" t="s">
        <v>591</v>
      </c>
      <c r="E160" s="7" t="s">
        <v>106</v>
      </c>
      <c r="F160" s="7" t="s">
        <v>478</v>
      </c>
      <c r="G160" s="7" t="s">
        <v>107</v>
      </c>
      <c r="H160" s="10">
        <v>8448260</v>
      </c>
      <c r="I160" s="10">
        <v>9040397</v>
      </c>
      <c r="J160" s="10">
        <v>497507</v>
      </c>
      <c r="K160" s="48">
        <v>0</v>
      </c>
      <c r="L160" s="48">
        <v>1127781</v>
      </c>
      <c r="M160" s="48">
        <v>1881674</v>
      </c>
      <c r="N160" s="48">
        <v>0</v>
      </c>
      <c r="O160" s="48">
        <v>0</v>
      </c>
      <c r="P160" s="48">
        <v>0</v>
      </c>
      <c r="Q160" s="48">
        <v>2250515</v>
      </c>
      <c r="R160" s="10">
        <v>1915758</v>
      </c>
      <c r="S160" s="10">
        <v>337093</v>
      </c>
      <c r="T160" s="10">
        <v>0</v>
      </c>
      <c r="U160" s="10">
        <v>0</v>
      </c>
      <c r="V160" s="10">
        <v>8102547</v>
      </c>
      <c r="W160" s="12">
        <v>4.7600000000000003E-2</v>
      </c>
      <c r="X160" s="10">
        <v>0</v>
      </c>
      <c r="Y160" s="22">
        <f>583984/8102547</f>
        <v>7.2074126814691719E-2</v>
      </c>
      <c r="Z160" s="10">
        <v>583565</v>
      </c>
      <c r="AA160" s="10">
        <v>0</v>
      </c>
      <c r="AB160" s="10">
        <f>38455+1457</f>
        <v>39912</v>
      </c>
      <c r="AC160" s="10">
        <v>205405</v>
      </c>
      <c r="AD160" s="10">
        <v>21382</v>
      </c>
      <c r="AE160" s="10">
        <v>27302</v>
      </c>
      <c r="AF160" s="10">
        <v>33385</v>
      </c>
      <c r="AG160" s="10">
        <v>322</v>
      </c>
      <c r="AH160" s="10">
        <v>31867</v>
      </c>
      <c r="AI160" s="10">
        <v>1050</v>
      </c>
      <c r="AJ160" s="10">
        <v>8024</v>
      </c>
      <c r="AK160" s="10">
        <f>13076+14664+25986</f>
        <v>53726</v>
      </c>
      <c r="AL160" s="10">
        <v>8775</v>
      </c>
      <c r="AM160" s="10">
        <v>22342</v>
      </c>
      <c r="AN160" s="10">
        <v>58189</v>
      </c>
      <c r="AO160" s="10">
        <v>0</v>
      </c>
      <c r="AP160" s="10">
        <v>508417</v>
      </c>
      <c r="AQ160" s="10">
        <v>524394</v>
      </c>
      <c r="AR160" s="12">
        <f t="shared" si="13"/>
        <v>0</v>
      </c>
      <c r="AS160" s="10">
        <v>0</v>
      </c>
      <c r="AT160" s="10">
        <v>0</v>
      </c>
      <c r="AU160" s="10">
        <v>96389</v>
      </c>
      <c r="AV160" s="10">
        <v>0</v>
      </c>
      <c r="AW160" s="10">
        <v>75390</v>
      </c>
      <c r="AX160" s="10">
        <v>0</v>
      </c>
      <c r="AY160" s="10">
        <v>0</v>
      </c>
      <c r="AZ160" s="10">
        <v>0</v>
      </c>
      <c r="BA160" s="10">
        <v>1266</v>
      </c>
      <c r="BB160" s="10">
        <v>401</v>
      </c>
      <c r="BC160" s="10">
        <v>0</v>
      </c>
      <c r="BD160" s="10">
        <f>22-1</f>
        <v>21</v>
      </c>
      <c r="BE160" s="10">
        <v>-41</v>
      </c>
      <c r="BF160" s="10">
        <v>-149</v>
      </c>
      <c r="BG160" s="10">
        <v>-202</v>
      </c>
      <c r="BH160" s="10">
        <v>0</v>
      </c>
      <c r="BI160" s="10">
        <f t="shared" si="14"/>
        <v>1296</v>
      </c>
      <c r="BJ160" s="1">
        <v>37</v>
      </c>
      <c r="BK160" s="1">
        <v>13</v>
      </c>
      <c r="BL160" s="1">
        <v>8</v>
      </c>
      <c r="BM160" s="1">
        <v>82</v>
      </c>
      <c r="BN160" s="1">
        <v>99</v>
      </c>
      <c r="BO160" s="1">
        <v>0</v>
      </c>
      <c r="BP160" s="1">
        <v>4</v>
      </c>
      <c r="BQ160" s="1">
        <v>2</v>
      </c>
      <c r="BR160" s="1">
        <v>4</v>
      </c>
      <c r="BS160" s="1">
        <v>11</v>
      </c>
      <c r="BT160" s="1">
        <v>0</v>
      </c>
      <c r="BU160" s="1">
        <v>22</v>
      </c>
      <c r="BV160" s="1">
        <v>0</v>
      </c>
      <c r="BW160" s="1">
        <v>13</v>
      </c>
      <c r="BX160" s="1">
        <v>23</v>
      </c>
      <c r="BY160" s="1">
        <v>0</v>
      </c>
    </row>
    <row r="161" spans="1:77">
      <c r="A161" s="1">
        <v>17</v>
      </c>
      <c r="B161" s="1" t="s">
        <v>594</v>
      </c>
      <c r="C161" s="7" t="s">
        <v>36</v>
      </c>
      <c r="D161" s="1" t="s">
        <v>554</v>
      </c>
      <c r="E161" s="1" t="s">
        <v>482</v>
      </c>
      <c r="F161" s="7"/>
      <c r="G161" s="7" t="s">
        <v>464</v>
      </c>
      <c r="H161" s="10">
        <v>3630567</v>
      </c>
      <c r="I161" s="10">
        <v>3644971</v>
      </c>
      <c r="J161" s="10">
        <v>149902</v>
      </c>
      <c r="K161" s="48">
        <v>0</v>
      </c>
      <c r="L161" s="48">
        <v>0</v>
      </c>
      <c r="M161" s="48">
        <v>0</v>
      </c>
      <c r="N161" s="48">
        <v>1207762</v>
      </c>
      <c r="O161" s="48">
        <v>0</v>
      </c>
      <c r="P161" s="48">
        <v>0</v>
      </c>
      <c r="Q161" s="48">
        <v>612474</v>
      </c>
      <c r="R161" s="10">
        <v>1582270</v>
      </c>
      <c r="S161" s="10">
        <v>104003</v>
      </c>
      <c r="T161" s="10">
        <v>192</v>
      </c>
      <c r="U161" s="10">
        <v>0</v>
      </c>
      <c r="V161" s="10">
        <v>3809328</v>
      </c>
      <c r="W161" s="12">
        <v>0.04</v>
      </c>
      <c r="X161" s="10">
        <v>0</v>
      </c>
      <c r="Y161" s="22">
        <f>299329/3809136</f>
        <v>7.8581862133565203E-2</v>
      </c>
      <c r="Z161" s="10">
        <v>302627</v>
      </c>
      <c r="AA161" s="10">
        <v>0</v>
      </c>
      <c r="AB161" s="3">
        <f>14404+13494+669</f>
        <v>28567</v>
      </c>
      <c r="AC161" s="10">
        <v>81164</v>
      </c>
      <c r="AD161" s="10">
        <v>7422</v>
      </c>
      <c r="AE161" s="10">
        <v>2047</v>
      </c>
      <c r="AF161" s="10">
        <f>18383+1998</f>
        <v>20381</v>
      </c>
      <c r="AG161" s="10">
        <v>6755</v>
      </c>
      <c r="AH161" s="10">
        <v>7321</v>
      </c>
      <c r="AI161" s="10">
        <v>26159</v>
      </c>
      <c r="AJ161" s="10">
        <v>0</v>
      </c>
      <c r="AK161" s="10">
        <f>4449+7514+5068</f>
        <v>17031</v>
      </c>
      <c r="AL161" s="10">
        <v>3654</v>
      </c>
      <c r="AM161" s="10">
        <v>2099</v>
      </c>
      <c r="AN161" s="10">
        <v>5981</v>
      </c>
      <c r="AO161" s="10">
        <v>0</v>
      </c>
      <c r="AP161" s="10">
        <v>200000</v>
      </c>
      <c r="AQ161" s="10">
        <v>200527</v>
      </c>
      <c r="AR161" s="12">
        <f t="shared" si="13"/>
        <v>0</v>
      </c>
      <c r="AS161" s="10">
        <v>0</v>
      </c>
      <c r="AT161" s="10">
        <v>0</v>
      </c>
      <c r="AU161" s="10">
        <v>139662</v>
      </c>
      <c r="AV161" s="10">
        <v>0</v>
      </c>
      <c r="AW161" s="10">
        <v>32706</v>
      </c>
      <c r="AX161" s="10">
        <v>0</v>
      </c>
      <c r="AY161" s="10">
        <v>0</v>
      </c>
      <c r="AZ161" s="10">
        <v>0</v>
      </c>
      <c r="BA161" s="10">
        <v>721</v>
      </c>
      <c r="BB161" s="10">
        <v>1</v>
      </c>
      <c r="BC161" s="10">
        <v>25</v>
      </c>
      <c r="BD161" s="10">
        <v>-1</v>
      </c>
      <c r="BE161" s="10">
        <v>-41</v>
      </c>
      <c r="BF161" s="10">
        <v>-72</v>
      </c>
      <c r="BG161" s="10">
        <v>-183</v>
      </c>
      <c r="BH161" s="10">
        <v>-1</v>
      </c>
      <c r="BI161" s="10">
        <f t="shared" si="14"/>
        <v>449</v>
      </c>
      <c r="BJ161" s="1">
        <v>0</v>
      </c>
      <c r="BK161" s="1">
        <v>42</v>
      </c>
      <c r="BL161" s="1">
        <v>13</v>
      </c>
      <c r="BM161" s="1">
        <v>118</v>
      </c>
      <c r="BN161" s="1">
        <v>7</v>
      </c>
      <c r="BO161" s="1">
        <v>3</v>
      </c>
      <c r="BP161" s="1" t="s">
        <v>453</v>
      </c>
      <c r="BQ161" s="1" t="s">
        <v>453</v>
      </c>
      <c r="BR161" s="1" t="s">
        <v>453</v>
      </c>
      <c r="BS161" s="1" t="s">
        <v>453</v>
      </c>
      <c r="BT161" s="1" t="s">
        <v>453</v>
      </c>
      <c r="BU161" s="1" t="s">
        <v>453</v>
      </c>
      <c r="BV161" s="1" t="s">
        <v>453</v>
      </c>
      <c r="BW161" s="1" t="s">
        <v>453</v>
      </c>
      <c r="BX161" s="1" t="s">
        <v>453</v>
      </c>
      <c r="BY161" s="1" t="s">
        <v>453</v>
      </c>
    </row>
    <row r="162" spans="1:77">
      <c r="A162" s="31">
        <v>17</v>
      </c>
      <c r="B162" s="7" t="s">
        <v>675</v>
      </c>
      <c r="C162" s="7" t="s">
        <v>703</v>
      </c>
      <c r="D162" s="7" t="s">
        <v>554</v>
      </c>
      <c r="E162" s="7" t="s">
        <v>482</v>
      </c>
      <c r="F162" s="7"/>
      <c r="G162" s="7" t="s">
        <v>464</v>
      </c>
      <c r="H162" s="10">
        <v>1838397</v>
      </c>
      <c r="I162" s="10">
        <v>1848964</v>
      </c>
      <c r="J162" s="10">
        <v>60867</v>
      </c>
      <c r="K162" s="48">
        <v>0</v>
      </c>
      <c r="L162" s="48">
        <v>31899</v>
      </c>
      <c r="M162" s="48">
        <v>588876</v>
      </c>
      <c r="N162" s="48">
        <v>0</v>
      </c>
      <c r="O162" s="48">
        <v>0</v>
      </c>
      <c r="P162" s="48">
        <v>122180</v>
      </c>
      <c r="Q162" s="48">
        <v>0</v>
      </c>
      <c r="R162" s="10">
        <v>472417</v>
      </c>
      <c r="S162" s="10">
        <v>343299</v>
      </c>
      <c r="T162" s="10">
        <v>1366</v>
      </c>
      <c r="U162" s="10">
        <v>0</v>
      </c>
      <c r="V162" s="10">
        <v>1729813</v>
      </c>
      <c r="W162" s="12">
        <v>0.26019999999999999</v>
      </c>
      <c r="X162" s="10">
        <v>0</v>
      </c>
      <c r="Y162" s="22">
        <f>173857/1738574</f>
        <v>9.9999769926387955E-2</v>
      </c>
      <c r="Z162" s="10">
        <v>173855</v>
      </c>
      <c r="AA162" s="10">
        <v>0</v>
      </c>
      <c r="AB162" s="3">
        <f>4035+173</f>
        <v>4208</v>
      </c>
      <c r="AC162" s="10">
        <v>59576</v>
      </c>
      <c r="AD162" s="10">
        <v>5756</v>
      </c>
      <c r="AE162" s="10">
        <v>0</v>
      </c>
      <c r="AF162" s="10">
        <f>5062+862</f>
        <v>5924</v>
      </c>
      <c r="AG162" s="10">
        <v>0</v>
      </c>
      <c r="AH162" s="10">
        <v>7336</v>
      </c>
      <c r="AI162" s="10">
        <v>0</v>
      </c>
      <c r="AJ162" s="10">
        <v>0</v>
      </c>
      <c r="AK162" s="10">
        <f>2458+2080+5856</f>
        <v>10394</v>
      </c>
      <c r="AL162" s="10">
        <v>250</v>
      </c>
      <c r="AM162" s="10">
        <v>592</v>
      </c>
      <c r="AN162" s="10">
        <v>17880</v>
      </c>
      <c r="AO162" s="10">
        <v>0</v>
      </c>
      <c r="AP162" s="10">
        <v>123923</v>
      </c>
      <c r="AQ162" s="10">
        <v>195075</v>
      </c>
      <c r="AR162" s="12">
        <f t="shared" si="13"/>
        <v>0</v>
      </c>
      <c r="AS162" s="10">
        <v>0</v>
      </c>
      <c r="AT162" s="10">
        <v>0</v>
      </c>
      <c r="AU162" s="10">
        <v>82360</v>
      </c>
      <c r="AV162" s="10">
        <v>0</v>
      </c>
      <c r="AW162" s="10">
        <v>162</v>
      </c>
      <c r="AX162" s="10">
        <v>0</v>
      </c>
      <c r="AY162" s="10">
        <v>0</v>
      </c>
      <c r="AZ162" s="10">
        <v>0</v>
      </c>
      <c r="BA162" s="10">
        <v>558</v>
      </c>
      <c r="BB162" s="10">
        <v>279</v>
      </c>
      <c r="BC162" s="10">
        <v>3</v>
      </c>
      <c r="BD162" s="10">
        <f>1+7-1</f>
        <v>7</v>
      </c>
      <c r="BE162" s="10">
        <v>-33</v>
      </c>
      <c r="BF162" s="10">
        <v>-66</v>
      </c>
      <c r="BG162" s="10">
        <v>-2</v>
      </c>
      <c r="BH162" s="10">
        <v>0</v>
      </c>
      <c r="BI162" s="10">
        <f t="shared" si="14"/>
        <v>746</v>
      </c>
      <c r="BJ162" s="1">
        <v>0</v>
      </c>
      <c r="BK162" s="1">
        <v>1</v>
      </c>
      <c r="BL162" s="1">
        <v>1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2</v>
      </c>
      <c r="BS162" s="1">
        <v>10</v>
      </c>
      <c r="BT162" s="1">
        <v>18</v>
      </c>
      <c r="BU162" s="1">
        <v>0</v>
      </c>
      <c r="BV162" s="1">
        <v>0</v>
      </c>
      <c r="BW162" s="1">
        <v>1</v>
      </c>
      <c r="BX162" s="1">
        <v>23</v>
      </c>
      <c r="BY162" s="1">
        <v>0</v>
      </c>
    </row>
    <row r="163" spans="1:77">
      <c r="A163" s="1">
        <v>18</v>
      </c>
      <c r="B163" s="1" t="s">
        <v>97</v>
      </c>
      <c r="C163" s="7" t="s">
        <v>165</v>
      </c>
      <c r="D163" s="1" t="s">
        <v>621</v>
      </c>
      <c r="E163" s="1" t="s">
        <v>682</v>
      </c>
      <c r="F163" s="7" t="s">
        <v>205</v>
      </c>
      <c r="G163" s="7" t="s">
        <v>686</v>
      </c>
      <c r="H163" s="10">
        <v>14215690</v>
      </c>
      <c r="I163" s="10">
        <v>14267183</v>
      </c>
      <c r="J163" s="10">
        <v>725611</v>
      </c>
      <c r="K163" s="48">
        <v>3302756</v>
      </c>
      <c r="L163" s="33">
        <v>526449</v>
      </c>
      <c r="M163" s="48">
        <v>2605776</v>
      </c>
      <c r="N163" s="48">
        <v>0</v>
      </c>
      <c r="O163" s="48">
        <v>314044</v>
      </c>
      <c r="P163" s="48">
        <v>983722</v>
      </c>
      <c r="Q163" s="48">
        <v>0</v>
      </c>
      <c r="R163" s="10">
        <v>3144292</v>
      </c>
      <c r="S163" s="10">
        <v>1025456</v>
      </c>
      <c r="T163" s="10">
        <v>27958</v>
      </c>
      <c r="U163" s="10">
        <v>0</v>
      </c>
      <c r="V163" s="10">
        <v>13082840</v>
      </c>
      <c r="W163" s="12">
        <v>0.09</v>
      </c>
      <c r="X163" s="10">
        <v>0</v>
      </c>
      <c r="Y163" s="22">
        <f>1055841/11998188</f>
        <v>8.800003800573887E-2</v>
      </c>
      <c r="Z163" s="10">
        <v>1058536</v>
      </c>
      <c r="AA163" s="10">
        <v>0</v>
      </c>
      <c r="AB163" s="10">
        <f>47633+1699</f>
        <v>49332</v>
      </c>
      <c r="AC163" s="10">
        <v>552259</v>
      </c>
      <c r="AD163" s="10">
        <v>56791</v>
      </c>
      <c r="AE163" s="10">
        <v>78349</v>
      </c>
      <c r="AF163" s="10">
        <v>45008</v>
      </c>
      <c r="AG163" s="10">
        <v>0</v>
      </c>
      <c r="AH163" s="10">
        <v>21106</v>
      </c>
      <c r="AI163" s="10">
        <v>24256</v>
      </c>
      <c r="AJ163" s="10">
        <v>0</v>
      </c>
      <c r="AK163" s="10">
        <f>9205+35600+22926</f>
        <v>67731</v>
      </c>
      <c r="AL163" s="10">
        <v>14724</v>
      </c>
      <c r="AM163" s="10">
        <v>7969</v>
      </c>
      <c r="AN163" s="10">
        <v>110491</v>
      </c>
      <c r="AO163" s="10">
        <v>0</v>
      </c>
      <c r="AP163" s="10">
        <v>1047380</v>
      </c>
      <c r="AQ163" s="10">
        <v>1065654</v>
      </c>
      <c r="AR163" s="12">
        <f t="shared" si="13"/>
        <v>0</v>
      </c>
      <c r="AS163" s="10">
        <v>0</v>
      </c>
      <c r="AT163" s="10">
        <v>0</v>
      </c>
      <c r="AU163" s="10">
        <v>139662</v>
      </c>
      <c r="AV163" s="10">
        <v>0</v>
      </c>
      <c r="AW163" s="10">
        <v>160567</v>
      </c>
      <c r="AX163" s="10">
        <v>0</v>
      </c>
      <c r="AY163" s="10">
        <v>0</v>
      </c>
      <c r="AZ163" s="10">
        <v>0</v>
      </c>
      <c r="BA163" s="10">
        <v>3117</v>
      </c>
      <c r="BB163" s="10">
        <v>1930</v>
      </c>
      <c r="BC163" s="10">
        <v>0</v>
      </c>
      <c r="BD163" s="10">
        <f>57-1</f>
        <v>56</v>
      </c>
      <c r="BE163" s="10">
        <v>-283</v>
      </c>
      <c r="BF163" s="10">
        <v>-784</v>
      </c>
      <c r="BG163" s="10">
        <v>-358</v>
      </c>
      <c r="BH163" s="10">
        <v>-2</v>
      </c>
      <c r="BI163" s="10">
        <f t="shared" si="14"/>
        <v>3676</v>
      </c>
      <c r="BJ163" s="1">
        <v>7</v>
      </c>
      <c r="BK163" s="1">
        <v>92</v>
      </c>
      <c r="BL163" s="1">
        <v>37</v>
      </c>
      <c r="BM163" s="1">
        <v>163</v>
      </c>
      <c r="BN163" s="1">
        <v>56</v>
      </c>
      <c r="BO163" s="1">
        <v>17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</row>
    <row r="164" spans="1:77">
      <c r="A164" s="1">
        <v>18</v>
      </c>
      <c r="B164" s="1" t="s">
        <v>147</v>
      </c>
      <c r="C164" s="7" t="s">
        <v>369</v>
      </c>
      <c r="D164" s="1" t="s">
        <v>37</v>
      </c>
      <c r="E164" s="1" t="s">
        <v>25</v>
      </c>
      <c r="F164" s="7"/>
      <c r="G164" s="7" t="s">
        <v>27</v>
      </c>
      <c r="H164" s="10">
        <v>2091929</v>
      </c>
      <c r="I164" s="10">
        <v>2097876</v>
      </c>
      <c r="J164" s="10">
        <v>223520</v>
      </c>
      <c r="K164" s="48">
        <v>0</v>
      </c>
      <c r="L164" s="48">
        <v>0</v>
      </c>
      <c r="M164" s="48">
        <v>0</v>
      </c>
      <c r="N164" s="48">
        <v>603635</v>
      </c>
      <c r="O164" s="48">
        <v>0</v>
      </c>
      <c r="P164" s="48">
        <v>0</v>
      </c>
      <c r="Q164" s="48">
        <v>444771</v>
      </c>
      <c r="R164" s="10">
        <v>469701</v>
      </c>
      <c r="S164" s="10">
        <v>92661</v>
      </c>
      <c r="T164" s="10">
        <v>9390</v>
      </c>
      <c r="U164" s="10">
        <v>1479</v>
      </c>
      <c r="V164" s="10">
        <v>1800752</v>
      </c>
      <c r="W164" s="12">
        <v>0.12</v>
      </c>
      <c r="X164" s="10">
        <v>0</v>
      </c>
      <c r="Y164" s="22">
        <f>178988/1789883</f>
        <v>9.99998323912792E-2</v>
      </c>
      <c r="Z164" s="10">
        <v>179025</v>
      </c>
      <c r="AA164" s="10">
        <v>0</v>
      </c>
      <c r="AB164" s="10">
        <f>5711+132</f>
        <v>5843</v>
      </c>
      <c r="AC164" s="10">
        <v>59502</v>
      </c>
      <c r="AD164" s="10">
        <v>5494</v>
      </c>
      <c r="AE164" s="10">
        <v>2880</v>
      </c>
      <c r="AF164" s="10">
        <v>12687</v>
      </c>
      <c r="AG164" s="10">
        <v>0</v>
      </c>
      <c r="AH164" s="10">
        <v>4198</v>
      </c>
      <c r="AI164" s="10">
        <v>0</v>
      </c>
      <c r="AJ164" s="10">
        <v>0</v>
      </c>
      <c r="AK164" s="10">
        <f>5365+2691+4221</f>
        <v>12277</v>
      </c>
      <c r="AL164" s="10">
        <v>236</v>
      </c>
      <c r="AM164" s="10">
        <v>338</v>
      </c>
      <c r="AN164" s="10">
        <v>0</v>
      </c>
      <c r="AO164" s="10">
        <v>32475</v>
      </c>
      <c r="AP164" s="10">
        <v>103341</v>
      </c>
      <c r="AQ164" s="10">
        <v>104339</v>
      </c>
      <c r="AR164" s="12">
        <f t="shared" si="13"/>
        <v>0.31425087816065261</v>
      </c>
      <c r="AS164" s="10">
        <v>0</v>
      </c>
      <c r="AT164" s="10">
        <v>0</v>
      </c>
      <c r="AU164" s="10">
        <v>83428</v>
      </c>
      <c r="AV164">
        <v>0</v>
      </c>
      <c r="AW164" s="10">
        <v>10896</v>
      </c>
      <c r="AX164" s="10">
        <v>0</v>
      </c>
      <c r="AY164" s="10">
        <v>0</v>
      </c>
      <c r="AZ164" s="10">
        <v>0</v>
      </c>
      <c r="BA164" s="10">
        <v>274</v>
      </c>
      <c r="BB164" s="10">
        <v>110</v>
      </c>
      <c r="BC164" s="10">
        <v>0</v>
      </c>
      <c r="BD164" s="10">
        <f>1+7</f>
        <v>8</v>
      </c>
      <c r="BE164" s="10">
        <v>-31</v>
      </c>
      <c r="BF164" s="10">
        <v>-54</v>
      </c>
      <c r="BG164" s="10">
        <v>-44</v>
      </c>
      <c r="BH164" s="10">
        <v>0</v>
      </c>
      <c r="BI164" s="10">
        <f t="shared" si="14"/>
        <v>263</v>
      </c>
      <c r="BJ164" s="1">
        <v>0</v>
      </c>
      <c r="BK164" s="1">
        <v>15</v>
      </c>
      <c r="BL164" s="1">
        <v>6</v>
      </c>
      <c r="BM164" s="1">
        <v>18</v>
      </c>
      <c r="BN164" s="1">
        <v>6</v>
      </c>
      <c r="BO164" s="1">
        <v>0</v>
      </c>
      <c r="BP164" s="1" t="s">
        <v>453</v>
      </c>
      <c r="BQ164" s="1" t="s">
        <v>453</v>
      </c>
      <c r="BR164" s="1" t="s">
        <v>453</v>
      </c>
      <c r="BS164" s="1" t="s">
        <v>453</v>
      </c>
      <c r="BT164" s="1" t="s">
        <v>453</v>
      </c>
      <c r="BU164" s="1" t="s">
        <v>453</v>
      </c>
      <c r="BV164" s="1" t="s">
        <v>453</v>
      </c>
      <c r="BW164" s="1" t="s">
        <v>453</v>
      </c>
      <c r="BX164" s="1" t="s">
        <v>453</v>
      </c>
      <c r="BY164" s="1" t="s">
        <v>453</v>
      </c>
    </row>
    <row r="165" spans="1:77">
      <c r="A165" s="1">
        <v>18</v>
      </c>
      <c r="B165" s="1" t="s">
        <v>202</v>
      </c>
      <c r="C165" s="7" t="s">
        <v>565</v>
      </c>
      <c r="D165" s="1" t="s">
        <v>267</v>
      </c>
      <c r="E165" s="1" t="s">
        <v>449</v>
      </c>
      <c r="F165" s="7"/>
      <c r="G165" s="7" t="s">
        <v>443</v>
      </c>
      <c r="H165" s="10">
        <v>4715267</v>
      </c>
      <c r="I165" s="10">
        <v>4725700</v>
      </c>
      <c r="J165" s="10">
        <v>185400</v>
      </c>
      <c r="K165" s="48">
        <v>0</v>
      </c>
      <c r="L165" s="48">
        <v>2170576</v>
      </c>
      <c r="M165" s="48">
        <v>268339</v>
      </c>
      <c r="N165" s="48">
        <v>0</v>
      </c>
      <c r="O165" s="48">
        <v>0</v>
      </c>
      <c r="P165" s="48">
        <v>437250</v>
      </c>
      <c r="Q165" s="48">
        <v>0</v>
      </c>
      <c r="R165" s="10">
        <v>1263163</v>
      </c>
      <c r="S165" s="10">
        <v>214975</v>
      </c>
      <c r="T165" s="10">
        <v>0</v>
      </c>
      <c r="U165" s="10">
        <v>0</v>
      </c>
      <c r="V165" s="10">
        <v>4685891</v>
      </c>
      <c r="W165" s="12">
        <v>0.05</v>
      </c>
      <c r="X165" s="10">
        <v>0</v>
      </c>
      <c r="Y165" s="22">
        <f>325613/4682891</f>
        <v>6.9532474704194477E-2</v>
      </c>
      <c r="Z165" s="10">
        <v>325613</v>
      </c>
      <c r="AA165" s="10">
        <v>0</v>
      </c>
      <c r="AB165" s="10">
        <f>9698+773+557</f>
        <v>11028</v>
      </c>
      <c r="AC165" s="10">
        <v>68643</v>
      </c>
      <c r="AD165" s="10">
        <v>13462</v>
      </c>
      <c r="AE165" s="10">
        <v>7532</v>
      </c>
      <c r="AF165" s="10">
        <v>11940</v>
      </c>
      <c r="AG165" s="10">
        <v>4437</v>
      </c>
      <c r="AH165" s="10">
        <v>12748</v>
      </c>
      <c r="AI165" s="10">
        <v>320</v>
      </c>
      <c r="AJ165" s="10">
        <v>0</v>
      </c>
      <c r="AK165" s="10">
        <f>7767+7843+7315</f>
        <v>22925</v>
      </c>
      <c r="AL165" s="10">
        <v>6795</v>
      </c>
      <c r="AM165" s="10">
        <v>0</v>
      </c>
      <c r="AN165" s="10">
        <v>2018</v>
      </c>
      <c r="AO165" s="10">
        <v>0</v>
      </c>
      <c r="AP165" s="10">
        <v>196582</v>
      </c>
      <c r="AQ165" s="10">
        <v>199979</v>
      </c>
      <c r="AR165" s="12">
        <f t="shared" ref="AR165:AR196" si="15">AO165/AP165</f>
        <v>0</v>
      </c>
      <c r="AS165" s="10">
        <v>0</v>
      </c>
      <c r="AT165" s="10">
        <v>0</v>
      </c>
      <c r="AU165" s="10">
        <v>139662</v>
      </c>
      <c r="AV165" s="10">
        <v>0</v>
      </c>
      <c r="AW165" s="10">
        <v>32288</v>
      </c>
      <c r="AX165" s="10">
        <v>0</v>
      </c>
      <c r="AY165" s="10">
        <v>0</v>
      </c>
      <c r="AZ165" s="10">
        <v>0</v>
      </c>
      <c r="BA165" s="10">
        <v>1348</v>
      </c>
      <c r="BB165" s="10">
        <v>388</v>
      </c>
      <c r="BC165" s="10">
        <v>0</v>
      </c>
      <c r="BD165" s="10">
        <f>11-2</f>
        <v>9</v>
      </c>
      <c r="BE165" s="10">
        <v>-117</v>
      </c>
      <c r="BF165" s="10">
        <v>-186</v>
      </c>
      <c r="BG165" s="10">
        <v>-267</v>
      </c>
      <c r="BH165" s="10">
        <v>0</v>
      </c>
      <c r="BI165" s="10">
        <f t="shared" si="14"/>
        <v>1175</v>
      </c>
      <c r="BJ165" s="1">
        <v>0</v>
      </c>
      <c r="BK165" s="1">
        <v>22</v>
      </c>
      <c r="BL165" s="1">
        <v>13</v>
      </c>
      <c r="BM165" s="1">
        <v>174</v>
      </c>
      <c r="BN165" s="1">
        <v>14</v>
      </c>
      <c r="BO165" s="1">
        <v>1</v>
      </c>
      <c r="BP165" s="1" t="s">
        <v>453</v>
      </c>
      <c r="BQ165" s="1" t="s">
        <v>453</v>
      </c>
      <c r="BR165" s="1" t="s">
        <v>453</v>
      </c>
      <c r="BS165" s="1" t="s">
        <v>453</v>
      </c>
      <c r="BT165" s="1" t="s">
        <v>453</v>
      </c>
      <c r="BU165" s="1" t="s">
        <v>453</v>
      </c>
      <c r="BV165" s="1" t="s">
        <v>453</v>
      </c>
      <c r="BW165" s="1" t="s">
        <v>453</v>
      </c>
      <c r="BX165" s="1" t="s">
        <v>453</v>
      </c>
      <c r="BY165" s="1" t="s">
        <v>453</v>
      </c>
    </row>
    <row r="166" spans="1:77">
      <c r="A166" s="31">
        <v>18</v>
      </c>
      <c r="B166" s="7" t="s">
        <v>235</v>
      </c>
      <c r="C166" s="7" t="s">
        <v>341</v>
      </c>
      <c r="D166" s="7" t="s">
        <v>599</v>
      </c>
      <c r="E166" s="7" t="s">
        <v>682</v>
      </c>
      <c r="F166" s="7" t="s">
        <v>695</v>
      </c>
      <c r="G166" s="7" t="s">
        <v>686</v>
      </c>
      <c r="H166" s="10">
        <v>48587406</v>
      </c>
      <c r="I166" s="10">
        <v>48735222</v>
      </c>
      <c r="J166" s="10">
        <v>2735561</v>
      </c>
      <c r="K166" s="48">
        <v>14449201</v>
      </c>
      <c r="L166" s="48">
        <v>3109261</v>
      </c>
      <c r="M166" s="48">
        <v>8369715</v>
      </c>
      <c r="N166" s="48">
        <v>0</v>
      </c>
      <c r="O166" s="48">
        <v>679639</v>
      </c>
      <c r="P166" s="48">
        <v>3423308</v>
      </c>
      <c r="Q166" s="48">
        <v>0</v>
      </c>
      <c r="R166" s="10">
        <v>10809895</v>
      </c>
      <c r="S166" s="10">
        <v>1416384</v>
      </c>
      <c r="T166" s="10">
        <v>36482</v>
      </c>
      <c r="U166" s="10">
        <v>0</v>
      </c>
      <c r="V166" s="10">
        <v>44942482</v>
      </c>
      <c r="W166" s="12">
        <v>0.1065</v>
      </c>
      <c r="X166" s="10">
        <v>0</v>
      </c>
      <c r="Y166" s="22">
        <f>2597297/42338186</f>
        <v>6.1346440303323341E-2</v>
      </c>
      <c r="Z166" s="10">
        <v>2567814.11</v>
      </c>
      <c r="AA166" s="10">
        <v>0</v>
      </c>
      <c r="AB166" s="10">
        <f>146816+5035</f>
        <v>151851</v>
      </c>
      <c r="AC166" s="10">
        <v>1409626</v>
      </c>
      <c r="AD166" s="10">
        <v>129997</v>
      </c>
      <c r="AE166" s="10">
        <v>318071</v>
      </c>
      <c r="AF166" s="10">
        <f>210268+3177</f>
        <v>213445</v>
      </c>
      <c r="AG166" s="10">
        <v>0</v>
      </c>
      <c r="AH166" s="10">
        <v>23129</v>
      </c>
      <c r="AI166" s="10">
        <v>27222</v>
      </c>
      <c r="AJ166" s="10">
        <v>40500</v>
      </c>
      <c r="AK166" s="10">
        <f>21454+71408+48423</f>
        <v>141285</v>
      </c>
      <c r="AL166" s="10">
        <v>13211</v>
      </c>
      <c r="AM166" s="10">
        <v>1131</v>
      </c>
      <c r="AN166" s="10">
        <v>55278</v>
      </c>
      <c r="AO166" s="10">
        <v>0</v>
      </c>
      <c r="AP166" s="10">
        <v>2552132</v>
      </c>
      <c r="AQ166" s="10">
        <v>2641105</v>
      </c>
      <c r="AR166" s="12">
        <f t="shared" si="15"/>
        <v>0</v>
      </c>
      <c r="AS166" s="10">
        <v>0</v>
      </c>
      <c r="AT166" s="10">
        <v>0</v>
      </c>
      <c r="AU166" s="10">
        <v>139662</v>
      </c>
      <c r="AV166" s="10">
        <v>0</v>
      </c>
      <c r="AW166" s="10">
        <v>420140</v>
      </c>
      <c r="AX166" s="10">
        <v>0</v>
      </c>
      <c r="AY166" s="10">
        <v>0</v>
      </c>
      <c r="AZ166" s="10">
        <v>0</v>
      </c>
      <c r="BA166" s="10">
        <v>5809</v>
      </c>
      <c r="BB166" s="10">
        <v>2818</v>
      </c>
      <c r="BC166" s="10">
        <v>23</v>
      </c>
      <c r="BD166" s="10">
        <v>44</v>
      </c>
      <c r="BE166" s="10">
        <v>-205</v>
      </c>
      <c r="BF166" s="10">
        <v>-1370</v>
      </c>
      <c r="BG166" s="10">
        <v>-894</v>
      </c>
      <c r="BH166" s="10">
        <v>-30</v>
      </c>
      <c r="BI166" s="10">
        <f t="shared" si="14"/>
        <v>6195</v>
      </c>
      <c r="BJ166" s="1">
        <v>62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</row>
    <row r="167" spans="1:77">
      <c r="A167" s="1">
        <v>18</v>
      </c>
      <c r="B167" s="1" t="s">
        <v>236</v>
      </c>
      <c r="C167" s="7" t="s">
        <v>362</v>
      </c>
      <c r="D167" s="1" t="s">
        <v>526</v>
      </c>
      <c r="E167" s="1" t="s">
        <v>307</v>
      </c>
      <c r="F167" s="7"/>
      <c r="G167" s="7" t="s">
        <v>308</v>
      </c>
      <c r="H167" s="10">
        <v>3601837</v>
      </c>
      <c r="I167" s="10">
        <v>3604311</v>
      </c>
      <c r="J167" s="10">
        <v>78926</v>
      </c>
      <c r="K167" s="48">
        <v>0</v>
      </c>
      <c r="L167" s="48">
        <v>0</v>
      </c>
      <c r="M167" s="48">
        <v>0</v>
      </c>
      <c r="N167" s="48">
        <v>1555771</v>
      </c>
      <c r="O167" s="48">
        <v>0</v>
      </c>
      <c r="P167" s="48">
        <v>0</v>
      </c>
      <c r="Q167" s="48">
        <v>434704</v>
      </c>
      <c r="R167" s="10">
        <v>929357</v>
      </c>
      <c r="S167" s="10">
        <v>104922</v>
      </c>
      <c r="T167" s="10">
        <v>1153</v>
      </c>
      <c r="U167" s="10">
        <v>0</v>
      </c>
      <c r="V167" s="10">
        <v>3330264</v>
      </c>
      <c r="W167" s="12">
        <v>0.11</v>
      </c>
      <c r="X167" s="10">
        <v>0</v>
      </c>
      <c r="Y167" s="22">
        <f>291890/3329111</f>
        <v>8.7678061800883181E-2</v>
      </c>
      <c r="Z167" s="10">
        <v>290931</v>
      </c>
      <c r="AA167" s="10">
        <v>0</v>
      </c>
      <c r="AB167" s="10">
        <f>2474+278</f>
        <v>2752</v>
      </c>
      <c r="AC167" s="10">
        <v>71617</v>
      </c>
      <c r="AD167" s="10">
        <v>6311</v>
      </c>
      <c r="AE167" s="10">
        <v>14012</v>
      </c>
      <c r="AF167" s="10">
        <v>13320</v>
      </c>
      <c r="AG167" s="10">
        <v>643</v>
      </c>
      <c r="AH167" s="10">
        <v>7476</v>
      </c>
      <c r="AI167" s="10">
        <v>0</v>
      </c>
      <c r="AJ167" s="10">
        <v>0</v>
      </c>
      <c r="AK167" s="10">
        <f>3041+6280+2790</f>
        <v>12111</v>
      </c>
      <c r="AL167" s="10">
        <v>199</v>
      </c>
      <c r="AM167" s="10">
        <v>2827</v>
      </c>
      <c r="AN167" s="10">
        <v>25700</v>
      </c>
      <c r="AO167" s="10">
        <v>0</v>
      </c>
      <c r="AP167" s="10">
        <v>165111</v>
      </c>
      <c r="AQ167" s="10">
        <v>166052</v>
      </c>
      <c r="AR167" s="12">
        <f t="shared" si="15"/>
        <v>0</v>
      </c>
      <c r="AS167" s="10">
        <v>0</v>
      </c>
      <c r="AT167" s="10">
        <v>0</v>
      </c>
      <c r="AU167" s="10">
        <v>139909</v>
      </c>
      <c r="AV167" s="10">
        <v>247</v>
      </c>
      <c r="AW167" s="10">
        <v>13683</v>
      </c>
      <c r="AX167" s="10">
        <v>0</v>
      </c>
      <c r="AY167" s="10">
        <v>247</v>
      </c>
      <c r="AZ167" s="10">
        <v>0</v>
      </c>
      <c r="BA167" s="10">
        <v>665</v>
      </c>
      <c r="BB167" s="10">
        <v>236</v>
      </c>
      <c r="BC167" s="10">
        <v>24</v>
      </c>
      <c r="BD167" s="10">
        <f>3-1</f>
        <v>2</v>
      </c>
      <c r="BE167" s="10">
        <v>-67</v>
      </c>
      <c r="BF167" s="10">
        <v>-86</v>
      </c>
      <c r="BG167" s="10">
        <v>-108</v>
      </c>
      <c r="BH167" s="10">
        <v>-1</v>
      </c>
      <c r="BI167" s="10">
        <f t="shared" si="14"/>
        <v>665</v>
      </c>
      <c r="BJ167" s="1">
        <v>0</v>
      </c>
      <c r="BK167" s="1">
        <v>17</v>
      </c>
      <c r="BL167" s="1">
        <v>11</v>
      </c>
      <c r="BM167" s="1">
        <v>79</v>
      </c>
      <c r="BN167" s="1">
        <v>1</v>
      </c>
      <c r="BO167" s="1">
        <v>2</v>
      </c>
      <c r="BP167" s="1">
        <v>0</v>
      </c>
      <c r="BQ167" s="1">
        <v>0</v>
      </c>
      <c r="BR167" s="1">
        <v>13</v>
      </c>
      <c r="BS167" s="1">
        <v>25</v>
      </c>
      <c r="BT167" s="1">
        <v>0</v>
      </c>
      <c r="BU167" s="1">
        <v>1</v>
      </c>
      <c r="BV167" s="1">
        <v>4</v>
      </c>
      <c r="BW167" s="1">
        <v>22</v>
      </c>
      <c r="BX167" s="1">
        <v>13</v>
      </c>
      <c r="BY167" s="1">
        <v>2</v>
      </c>
    </row>
    <row r="168" spans="1:77">
      <c r="A168" s="1">
        <v>18</v>
      </c>
      <c r="B168" s="1" t="s">
        <v>240</v>
      </c>
      <c r="C168" s="7" t="s">
        <v>345</v>
      </c>
      <c r="D168" s="1" t="s">
        <v>676</v>
      </c>
      <c r="E168" s="1" t="s">
        <v>682</v>
      </c>
      <c r="F168" s="7" t="s">
        <v>695</v>
      </c>
      <c r="G168" s="7" t="s">
        <v>686</v>
      </c>
      <c r="H168" s="10">
        <v>7942234</v>
      </c>
      <c r="I168" s="10">
        <v>7972773</v>
      </c>
      <c r="J168" s="10">
        <v>472846</v>
      </c>
      <c r="K168" s="48">
        <v>797975</v>
      </c>
      <c r="L168" s="48">
        <v>0</v>
      </c>
      <c r="M168" s="48">
        <v>0</v>
      </c>
      <c r="N168" s="48">
        <v>2779585</v>
      </c>
      <c r="O168" s="48">
        <v>50639</v>
      </c>
      <c r="P168" s="48">
        <v>0</v>
      </c>
      <c r="Q168" s="48">
        <v>609231</v>
      </c>
      <c r="R168" s="10">
        <v>1643215</v>
      </c>
      <c r="S168" s="10">
        <v>588414</v>
      </c>
      <c r="T168" s="10">
        <v>10317</v>
      </c>
      <c r="U168" s="10">
        <v>0</v>
      </c>
      <c r="V168" s="10">
        <v>7235813</v>
      </c>
      <c r="W168" s="12">
        <v>0.1</v>
      </c>
      <c r="X168" s="10">
        <v>0</v>
      </c>
      <c r="Y168" s="22">
        <f>722550/7225496</f>
        <v>0.10000005535952133</v>
      </c>
      <c r="Z168" s="10">
        <v>720004</v>
      </c>
      <c r="AA168" s="10">
        <v>0</v>
      </c>
      <c r="AB168" s="10">
        <f>30539+916+1326</f>
        <v>32781</v>
      </c>
      <c r="AC168" s="10">
        <v>303968</v>
      </c>
      <c r="AD168" s="10">
        <v>29382</v>
      </c>
      <c r="AE168" s="10">
        <v>37258</v>
      </c>
      <c r="AF168" s="10">
        <f>48531+2080</f>
        <v>50611</v>
      </c>
      <c r="AG168" s="10">
        <v>904</v>
      </c>
      <c r="AH168" s="10">
        <v>15134</v>
      </c>
      <c r="AI168" s="10">
        <v>73864</v>
      </c>
      <c r="AJ168" s="10">
        <v>0</v>
      </c>
      <c r="AK168" s="10">
        <f>12931+22923+16176</f>
        <v>52030</v>
      </c>
      <c r="AL168" s="10">
        <v>7440</v>
      </c>
      <c r="AM168" s="10">
        <v>1356</v>
      </c>
      <c r="AN168" s="10">
        <v>41414</v>
      </c>
      <c r="AO168" s="10">
        <v>0</v>
      </c>
      <c r="AP168" s="10">
        <v>671300</v>
      </c>
      <c r="AQ168" s="10">
        <v>680679</v>
      </c>
      <c r="AR168" s="12">
        <f t="shared" si="15"/>
        <v>0</v>
      </c>
      <c r="AS168" s="10">
        <v>0</v>
      </c>
      <c r="AT168" s="10">
        <v>0</v>
      </c>
      <c r="AU168" s="10">
        <v>129662</v>
      </c>
      <c r="AV168" s="10">
        <v>0</v>
      </c>
      <c r="AW168" s="10">
        <v>72255</v>
      </c>
      <c r="AX168" s="10">
        <v>0</v>
      </c>
      <c r="AY168" s="10">
        <v>0</v>
      </c>
      <c r="AZ168" s="10">
        <v>0</v>
      </c>
      <c r="BA168" s="10">
        <v>1498</v>
      </c>
      <c r="BB168" s="10">
        <v>699</v>
      </c>
      <c r="BC168" s="10">
        <v>0</v>
      </c>
      <c r="BD168" s="10">
        <v>16</v>
      </c>
      <c r="BE168" s="10">
        <v>-136</v>
      </c>
      <c r="BF168" s="10">
        <v>-381</v>
      </c>
      <c r="BG168" s="10">
        <v>-287</v>
      </c>
      <c r="BH168" s="10">
        <v>-1</v>
      </c>
      <c r="BI168" s="10">
        <f t="shared" si="14"/>
        <v>1408</v>
      </c>
      <c r="BJ168" s="1">
        <v>5</v>
      </c>
      <c r="BK168" s="1">
        <v>61</v>
      </c>
      <c r="BL168" s="1">
        <v>25</v>
      </c>
      <c r="BM168" s="1">
        <v>137</v>
      </c>
      <c r="BN168" s="1">
        <v>56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</row>
    <row r="169" spans="1:77">
      <c r="A169" s="1">
        <v>18</v>
      </c>
      <c r="B169" s="1" t="s">
        <v>301</v>
      </c>
      <c r="C169" s="7" t="s">
        <v>168</v>
      </c>
      <c r="D169" s="1" t="s">
        <v>599</v>
      </c>
      <c r="E169" s="1" t="s">
        <v>682</v>
      </c>
      <c r="F169" s="7" t="s">
        <v>695</v>
      </c>
      <c r="G169" s="7" t="s">
        <v>686</v>
      </c>
      <c r="H169" s="10">
        <v>19811221</v>
      </c>
      <c r="I169" s="10">
        <v>19875561</v>
      </c>
      <c r="J169" s="10">
        <v>974281</v>
      </c>
      <c r="K169" s="48">
        <v>6818039</v>
      </c>
      <c r="L169" s="48" t="s">
        <v>453</v>
      </c>
      <c r="M169" s="48">
        <v>4721169</v>
      </c>
      <c r="N169" s="48">
        <v>0</v>
      </c>
      <c r="O169" s="48">
        <v>355169</v>
      </c>
      <c r="P169" s="48">
        <v>1906113</v>
      </c>
      <c r="Q169" s="48">
        <v>0</v>
      </c>
      <c r="R169" s="10">
        <v>2833459</v>
      </c>
      <c r="S169" s="10">
        <v>1067880</v>
      </c>
      <c r="T169" s="10">
        <v>20123</v>
      </c>
      <c r="U169" s="10">
        <v>0</v>
      </c>
      <c r="V169" s="10">
        <v>18684836</v>
      </c>
      <c r="W169" s="12">
        <v>6.7699999999999996E-2</v>
      </c>
      <c r="X169" s="10">
        <v>0</v>
      </c>
      <c r="Y169" s="22">
        <f>895369/18664713</f>
        <v>4.7971217130421455E-2</v>
      </c>
      <c r="Z169" s="10">
        <v>895391</v>
      </c>
      <c r="AA169" s="10">
        <v>0</v>
      </c>
      <c r="AB169" s="10">
        <f>61626+2035+2080</f>
        <v>65741</v>
      </c>
      <c r="AC169" s="10">
        <v>436974</v>
      </c>
      <c r="AD169" s="10">
        <v>36810</v>
      </c>
      <c r="AE169" s="10">
        <v>87805</v>
      </c>
      <c r="AF169" s="10">
        <v>67084</v>
      </c>
      <c r="AG169" s="10">
        <v>2663</v>
      </c>
      <c r="AH169" s="10">
        <v>28515</v>
      </c>
      <c r="AI169" s="10">
        <v>2147</v>
      </c>
      <c r="AJ169" s="10">
        <v>7427</v>
      </c>
      <c r="AK169" s="10">
        <f>16290+20627+19468</f>
        <v>56385</v>
      </c>
      <c r="AL169" s="10">
        <v>10896</v>
      </c>
      <c r="AM169" s="10">
        <v>1357</v>
      </c>
      <c r="AN169" s="10">
        <v>11918</v>
      </c>
      <c r="AO169" s="10">
        <v>0</v>
      </c>
      <c r="AP169" s="10">
        <v>822284</v>
      </c>
      <c r="AQ169" s="10">
        <v>828449</v>
      </c>
      <c r="AR169" s="12">
        <f t="shared" si="15"/>
        <v>0</v>
      </c>
      <c r="AS169" s="10">
        <v>0</v>
      </c>
      <c r="AT169" s="10">
        <v>0</v>
      </c>
      <c r="AU169" s="10">
        <v>139662</v>
      </c>
      <c r="AV169" s="10">
        <v>0</v>
      </c>
      <c r="AW169" s="10">
        <v>134550</v>
      </c>
      <c r="AX169" s="10">
        <v>0</v>
      </c>
      <c r="AY169" s="10">
        <v>0</v>
      </c>
      <c r="AZ169" s="10">
        <v>0</v>
      </c>
      <c r="BA169" s="10">
        <v>2459</v>
      </c>
      <c r="BB169" s="10">
        <v>1489</v>
      </c>
      <c r="BC169" s="10">
        <v>16</v>
      </c>
      <c r="BD169" s="10">
        <v>20</v>
      </c>
      <c r="BE169" s="10">
        <v>-143</v>
      </c>
      <c r="BF169" s="10">
        <v>-832</v>
      </c>
      <c r="BG169" s="10">
        <v>-378</v>
      </c>
      <c r="BH169" s="10">
        <v>-8</v>
      </c>
      <c r="BI169" s="10">
        <f t="shared" si="14"/>
        <v>2623</v>
      </c>
      <c r="BJ169" s="1">
        <v>2</v>
      </c>
      <c r="BK169" s="1">
        <v>202</v>
      </c>
      <c r="BL169" s="1">
        <v>18</v>
      </c>
      <c r="BM169" s="1">
        <v>88</v>
      </c>
      <c r="BN169" s="1">
        <v>76</v>
      </c>
      <c r="BO169" s="1">
        <v>0</v>
      </c>
      <c r="BP169" s="1" t="s">
        <v>453</v>
      </c>
      <c r="BQ169" s="1" t="s">
        <v>453</v>
      </c>
      <c r="BR169" s="1" t="s">
        <v>453</v>
      </c>
      <c r="BS169" s="1" t="s">
        <v>453</v>
      </c>
      <c r="BT169" s="1" t="s">
        <v>453</v>
      </c>
      <c r="BU169" s="1" t="s">
        <v>453</v>
      </c>
      <c r="BV169" s="1" t="s">
        <v>453</v>
      </c>
      <c r="BW169" s="1" t="s">
        <v>453</v>
      </c>
      <c r="BX169" s="1" t="s">
        <v>453</v>
      </c>
      <c r="BY169" s="1" t="s">
        <v>453</v>
      </c>
    </row>
    <row r="170" spans="1:77">
      <c r="A170" s="1">
        <v>18</v>
      </c>
      <c r="B170" s="1" t="s">
        <v>359</v>
      </c>
      <c r="C170" s="7" t="s">
        <v>333</v>
      </c>
      <c r="D170" s="1" t="s">
        <v>78</v>
      </c>
      <c r="E170" s="1" t="s">
        <v>307</v>
      </c>
      <c r="F170" s="7"/>
      <c r="G170" s="7" t="s">
        <v>308</v>
      </c>
      <c r="H170" s="10">
        <v>4279935</v>
      </c>
      <c r="I170" s="10">
        <v>4290348</v>
      </c>
      <c r="J170" s="10">
        <v>142655</v>
      </c>
      <c r="K170" s="48">
        <v>0</v>
      </c>
      <c r="L170" s="48">
        <v>0</v>
      </c>
      <c r="M170" s="48">
        <v>0</v>
      </c>
      <c r="N170" s="48">
        <v>1592892</v>
      </c>
      <c r="O170" s="48">
        <v>0</v>
      </c>
      <c r="P170" s="48">
        <v>0</v>
      </c>
      <c r="Q170" s="48">
        <v>516532</v>
      </c>
      <c r="R170" s="10">
        <v>1144865</v>
      </c>
      <c r="S170" s="10">
        <v>300901</v>
      </c>
      <c r="T170" s="10">
        <v>1714</v>
      </c>
      <c r="U170" s="10">
        <v>0</v>
      </c>
      <c r="V170" s="10">
        <v>3928710</v>
      </c>
      <c r="W170" s="12">
        <v>0.13</v>
      </c>
      <c r="X170" s="10">
        <v>0</v>
      </c>
      <c r="Y170" s="22">
        <f>371806/3926986</f>
        <v>9.4679736571508022E-2</v>
      </c>
      <c r="Z170" s="10">
        <v>371806</v>
      </c>
      <c r="AA170" s="10">
        <v>0</v>
      </c>
      <c r="AB170" s="10">
        <f>10413+294</f>
        <v>10707</v>
      </c>
      <c r="AC170" s="10">
        <v>119103</v>
      </c>
      <c r="AD170" s="3">
        <v>10508</v>
      </c>
      <c r="AE170" s="10">
        <v>17834</v>
      </c>
      <c r="AF170" s="10">
        <f>12157+1617</f>
        <v>13774</v>
      </c>
      <c r="AG170" s="10">
        <v>0</v>
      </c>
      <c r="AH170" s="10">
        <v>20601</v>
      </c>
      <c r="AI170" s="10">
        <v>3419</v>
      </c>
      <c r="AJ170" s="10">
        <v>0</v>
      </c>
      <c r="AK170" s="10">
        <f>2924+5874+4517</f>
        <v>13315</v>
      </c>
      <c r="AL170" s="10">
        <v>3030</v>
      </c>
      <c r="AM170" s="10">
        <v>5367</v>
      </c>
      <c r="AN170" s="10">
        <v>7498</v>
      </c>
      <c r="AO170" s="10">
        <v>79473</v>
      </c>
      <c r="AP170" s="10">
        <v>232443</v>
      </c>
      <c r="AQ170" s="10">
        <v>238809</v>
      </c>
      <c r="AR170" s="12">
        <f t="shared" si="15"/>
        <v>0.34190317626256761</v>
      </c>
      <c r="AS170" s="10">
        <v>0</v>
      </c>
      <c r="AT170" s="10">
        <v>0</v>
      </c>
      <c r="AU170" s="10">
        <v>139662</v>
      </c>
      <c r="AV170" s="10">
        <v>0</v>
      </c>
      <c r="AW170" s="10">
        <v>38761</v>
      </c>
      <c r="AX170" s="10">
        <v>0</v>
      </c>
      <c r="AY170" s="10">
        <v>0</v>
      </c>
      <c r="AZ170" s="10">
        <v>0</v>
      </c>
      <c r="BA170" s="10">
        <v>1140</v>
      </c>
      <c r="BB170" s="10">
        <v>565</v>
      </c>
      <c r="BC170" s="10">
        <v>0</v>
      </c>
      <c r="BD170" s="10">
        <f>7-1</f>
        <v>6</v>
      </c>
      <c r="BE170" s="10">
        <v>-111</v>
      </c>
      <c r="BF170" s="10">
        <v>-205</v>
      </c>
      <c r="BG170" s="10">
        <v>-167</v>
      </c>
      <c r="BH170" s="10">
        <v>0</v>
      </c>
      <c r="BI170" s="10">
        <f t="shared" si="14"/>
        <v>1228</v>
      </c>
      <c r="BJ170" s="1">
        <v>5</v>
      </c>
      <c r="BK170" s="1">
        <v>20</v>
      </c>
      <c r="BL170" s="1">
        <v>18</v>
      </c>
      <c r="BM170" s="1">
        <v>129</v>
      </c>
      <c r="BN170" s="1">
        <v>0</v>
      </c>
      <c r="BO170" s="1">
        <v>0</v>
      </c>
      <c r="BP170" s="1" t="s">
        <v>453</v>
      </c>
      <c r="BQ170" s="1" t="s">
        <v>453</v>
      </c>
      <c r="BR170" s="1" t="s">
        <v>453</v>
      </c>
      <c r="BS170" s="1" t="s">
        <v>453</v>
      </c>
      <c r="BT170" s="1" t="s">
        <v>453</v>
      </c>
      <c r="BU170" s="1" t="s">
        <v>453</v>
      </c>
      <c r="BV170" s="1" t="s">
        <v>453</v>
      </c>
      <c r="BW170" s="1" t="s">
        <v>453</v>
      </c>
      <c r="BX170" s="1" t="s">
        <v>453</v>
      </c>
      <c r="BY170" s="1" t="s">
        <v>453</v>
      </c>
    </row>
    <row r="171" spans="1:77">
      <c r="A171" s="1">
        <v>18</v>
      </c>
      <c r="B171" s="1" t="s">
        <v>384</v>
      </c>
      <c r="C171" s="7" t="s">
        <v>246</v>
      </c>
      <c r="D171" s="1" t="s">
        <v>221</v>
      </c>
      <c r="E171" s="1" t="s">
        <v>498</v>
      </c>
      <c r="F171" s="7"/>
      <c r="G171" s="7" t="s">
        <v>500</v>
      </c>
      <c r="H171" s="10">
        <v>12089863</v>
      </c>
      <c r="I171" s="10">
        <v>12137936</v>
      </c>
      <c r="J171" s="10">
        <v>474936</v>
      </c>
      <c r="K171" s="48">
        <v>0</v>
      </c>
      <c r="L171" s="48">
        <v>192012</v>
      </c>
      <c r="M171" s="48">
        <v>758511</v>
      </c>
      <c r="N171" s="48">
        <v>3349257</v>
      </c>
      <c r="O171" s="48">
        <v>0</v>
      </c>
      <c r="P171" s="48">
        <v>148052</v>
      </c>
      <c r="Q171" s="48">
        <v>2177480</v>
      </c>
      <c r="R171" s="10">
        <v>3681198</v>
      </c>
      <c r="S171" s="10">
        <v>1556011</v>
      </c>
      <c r="T171" s="10">
        <v>0</v>
      </c>
      <c r="U171" s="10">
        <v>0</v>
      </c>
      <c r="V171" s="10">
        <v>12714630</v>
      </c>
      <c r="W171" s="12">
        <v>0.1</v>
      </c>
      <c r="X171" s="10">
        <v>0</v>
      </c>
      <c r="Y171" s="22">
        <f>841359/12698486</f>
        <v>6.6256638783552618E-2</v>
      </c>
      <c r="Z171" s="10">
        <v>841601</v>
      </c>
      <c r="AA171">
        <v>0</v>
      </c>
      <c r="AB171" s="10">
        <f>45350+4856+1941</f>
        <v>52147</v>
      </c>
      <c r="AC171" s="10">
        <v>438023</v>
      </c>
      <c r="AD171" s="10">
        <v>43527</v>
      </c>
      <c r="AE171" s="10">
        <v>102763</v>
      </c>
      <c r="AF171" s="10">
        <v>49501</v>
      </c>
      <c r="AG171" s="10">
        <v>14</v>
      </c>
      <c r="AH171" s="10">
        <v>16505</v>
      </c>
      <c r="AI171" s="10">
        <v>3250</v>
      </c>
      <c r="AJ171" s="10">
        <v>0</v>
      </c>
      <c r="AK171" s="10">
        <f>15132+11075+16636</f>
        <v>42843</v>
      </c>
      <c r="AL171" s="10">
        <v>8138</v>
      </c>
      <c r="AM171" s="10">
        <v>813</v>
      </c>
      <c r="AN171" s="10">
        <v>8020</v>
      </c>
      <c r="AO171" s="10">
        <v>0</v>
      </c>
      <c r="AP171" s="10">
        <v>754078</v>
      </c>
      <c r="AQ171" s="10">
        <v>771419</v>
      </c>
      <c r="AR171" s="12">
        <f t="shared" si="15"/>
        <v>0</v>
      </c>
      <c r="AS171" s="10">
        <v>0</v>
      </c>
      <c r="AT171" s="10">
        <v>0</v>
      </c>
      <c r="AU171" s="10">
        <v>139662</v>
      </c>
      <c r="AV171" s="10">
        <v>0</v>
      </c>
      <c r="AW171" s="10">
        <v>126196</v>
      </c>
      <c r="AX171" s="10">
        <v>0</v>
      </c>
      <c r="AY171" s="10">
        <v>0</v>
      </c>
      <c r="AZ171" s="10">
        <v>0</v>
      </c>
      <c r="BA171" s="10">
        <v>2910</v>
      </c>
      <c r="BB171" s="10">
        <v>1146</v>
      </c>
      <c r="BC171" s="10">
        <v>32</v>
      </c>
      <c r="BD171" s="10">
        <f>1+52-3</f>
        <v>50</v>
      </c>
      <c r="BE171" s="10">
        <v>-240</v>
      </c>
      <c r="BF171" s="10">
        <v>-654</v>
      </c>
      <c r="BG171" s="10">
        <v>-650</v>
      </c>
      <c r="BH171" s="10">
        <v>-6</v>
      </c>
      <c r="BI171" s="10">
        <f t="shared" si="14"/>
        <v>2588</v>
      </c>
      <c r="BJ171" s="1">
        <v>0</v>
      </c>
      <c r="BK171" s="1">
        <v>101</v>
      </c>
      <c r="BL171" s="1">
        <v>51</v>
      </c>
      <c r="BM171" s="1">
        <v>289</v>
      </c>
      <c r="BN171" s="1">
        <v>211</v>
      </c>
      <c r="BO171" s="1">
        <v>4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</row>
    <row r="172" spans="1:77">
      <c r="A172" s="1">
        <v>18</v>
      </c>
      <c r="B172" s="1" t="s">
        <v>539</v>
      </c>
      <c r="C172" s="7" t="s">
        <v>75</v>
      </c>
      <c r="D172" s="1" t="s">
        <v>78</v>
      </c>
      <c r="E172" s="1" t="s">
        <v>307</v>
      </c>
      <c r="F172" s="7"/>
      <c r="G172" s="7" t="s">
        <v>308</v>
      </c>
      <c r="H172" s="10">
        <v>3251435</v>
      </c>
      <c r="I172" s="10">
        <v>3266256</v>
      </c>
      <c r="J172" s="10">
        <v>135813</v>
      </c>
      <c r="K172" s="48">
        <v>0</v>
      </c>
      <c r="L172" s="48">
        <v>0</v>
      </c>
      <c r="M172" s="48">
        <v>0</v>
      </c>
      <c r="N172" s="48">
        <v>1249146</v>
      </c>
      <c r="O172" s="48">
        <v>0</v>
      </c>
      <c r="P172" s="48">
        <v>0</v>
      </c>
      <c r="Q172" s="48">
        <v>426871</v>
      </c>
      <c r="R172" s="10">
        <v>835626</v>
      </c>
      <c r="S172" s="10">
        <v>221172</v>
      </c>
      <c r="T172" s="10">
        <v>1365</v>
      </c>
      <c r="U172" s="10">
        <v>2146</v>
      </c>
      <c r="V172" s="10">
        <v>3040516</v>
      </c>
      <c r="W172" s="12">
        <v>0.14299999999999999</v>
      </c>
      <c r="X172" s="10">
        <v>0</v>
      </c>
      <c r="Y172" s="22">
        <f>303569/3035686</f>
        <v>0.10000013176593363</v>
      </c>
      <c r="Z172" s="10">
        <v>301931</v>
      </c>
      <c r="AA172" s="10">
        <v>0</v>
      </c>
      <c r="AB172" s="10">
        <f>12839+914+2690</f>
        <v>16443</v>
      </c>
      <c r="AC172" s="10">
        <v>88004</v>
      </c>
      <c r="AD172" s="10">
        <v>7557</v>
      </c>
      <c r="AE172" s="10">
        <v>6817</v>
      </c>
      <c r="AF172" s="10">
        <v>12000</v>
      </c>
      <c r="AG172" s="10">
        <v>10332</v>
      </c>
      <c r="AH172" s="10">
        <v>4686</v>
      </c>
      <c r="AI172" s="10">
        <v>8640</v>
      </c>
      <c r="AJ172" s="10">
        <v>0</v>
      </c>
      <c r="AK172" s="10">
        <f>1335+5890+4788</f>
        <v>12013</v>
      </c>
      <c r="AL172" s="10">
        <v>3140</v>
      </c>
      <c r="AM172" s="10">
        <v>318</v>
      </c>
      <c r="AN172" s="10">
        <v>8505</v>
      </c>
      <c r="AO172" s="10">
        <v>12600</v>
      </c>
      <c r="AP172" s="10">
        <v>171573</v>
      </c>
      <c r="AQ172" s="10">
        <v>187808</v>
      </c>
      <c r="AR172" s="12">
        <f t="shared" si="15"/>
        <v>7.3438128376842507E-2</v>
      </c>
      <c r="AS172" s="10">
        <v>0</v>
      </c>
      <c r="AT172" s="10">
        <v>0</v>
      </c>
      <c r="AU172" s="10">
        <v>139662</v>
      </c>
      <c r="AV172" s="10">
        <v>0</v>
      </c>
      <c r="AW172" s="10">
        <v>23195</v>
      </c>
      <c r="AX172" s="10">
        <v>0</v>
      </c>
      <c r="AY172" s="10">
        <v>0</v>
      </c>
      <c r="AZ172" s="10">
        <v>0</v>
      </c>
      <c r="BA172" s="10">
        <v>1082</v>
      </c>
      <c r="BB172" s="10">
        <v>286</v>
      </c>
      <c r="BC172" s="10">
        <v>0</v>
      </c>
      <c r="BD172" s="10">
        <v>0</v>
      </c>
      <c r="BE172" s="10">
        <v>-71</v>
      </c>
      <c r="BF172" s="10">
        <v>-200</v>
      </c>
      <c r="BG172" s="10">
        <v>-174</v>
      </c>
      <c r="BH172" s="10">
        <v>0</v>
      </c>
      <c r="BI172" s="10">
        <f t="shared" ref="BI172:BI203" si="16">SUM(BA172:BH172)</f>
        <v>923</v>
      </c>
      <c r="BJ172" s="1">
        <v>3</v>
      </c>
      <c r="BK172" s="1">
        <v>27</v>
      </c>
      <c r="BL172" s="1">
        <v>6</v>
      </c>
      <c r="BM172" s="1">
        <v>140</v>
      </c>
      <c r="BN172" s="1">
        <v>0</v>
      </c>
      <c r="BO172" s="1">
        <v>3</v>
      </c>
      <c r="BP172" s="1">
        <v>0</v>
      </c>
      <c r="BQ172" s="1">
        <v>1</v>
      </c>
      <c r="BR172" s="1">
        <v>16</v>
      </c>
      <c r="BS172" s="1">
        <v>7</v>
      </c>
      <c r="BT172" s="1">
        <v>42</v>
      </c>
      <c r="BU172" s="1">
        <v>1</v>
      </c>
      <c r="BV172" s="1">
        <v>1</v>
      </c>
      <c r="BW172" s="1">
        <v>29</v>
      </c>
      <c r="BX172" s="1">
        <v>7</v>
      </c>
      <c r="BY172" s="1">
        <v>94</v>
      </c>
    </row>
    <row r="173" spans="1:77">
      <c r="A173" s="1">
        <v>18</v>
      </c>
      <c r="B173" s="1" t="s">
        <v>562</v>
      </c>
      <c r="C173" s="7" t="s">
        <v>565</v>
      </c>
      <c r="D173" s="1" t="s">
        <v>515</v>
      </c>
      <c r="E173" s="1" t="s">
        <v>498</v>
      </c>
      <c r="F173" s="7"/>
      <c r="G173" s="7" t="s">
        <v>500</v>
      </c>
      <c r="H173" s="10">
        <v>380287</v>
      </c>
      <c r="I173" s="10">
        <v>380782</v>
      </c>
      <c r="J173" s="10">
        <v>43614</v>
      </c>
      <c r="K173" s="48">
        <v>0</v>
      </c>
      <c r="L173" s="48">
        <v>58347</v>
      </c>
      <c r="M173" s="48">
        <v>78073</v>
      </c>
      <c r="N173" s="48">
        <v>0</v>
      </c>
      <c r="O173" s="48">
        <v>0</v>
      </c>
      <c r="P173" s="48">
        <v>93043</v>
      </c>
      <c r="Q173" s="48">
        <v>0</v>
      </c>
      <c r="R173" s="10">
        <v>136505</v>
      </c>
      <c r="S173" s="10">
        <v>17070</v>
      </c>
      <c r="T173" s="10">
        <v>0</v>
      </c>
      <c r="U173" s="10">
        <v>0</v>
      </c>
      <c r="V173" s="10">
        <v>416676</v>
      </c>
      <c r="W173" s="12">
        <v>0.11</v>
      </c>
      <c r="X173" s="10">
        <v>0</v>
      </c>
      <c r="Y173" s="22">
        <f>33196/416676</f>
        <v>7.9668615423014524E-2</v>
      </c>
      <c r="Z173" s="10">
        <v>33619</v>
      </c>
      <c r="AA173" s="10">
        <v>0</v>
      </c>
      <c r="AB173" s="10">
        <f>472+44+35</f>
        <v>551</v>
      </c>
      <c r="AC173" s="10">
        <v>7343</v>
      </c>
      <c r="AD173" s="10">
        <v>0</v>
      </c>
      <c r="AE173" s="10">
        <v>0</v>
      </c>
      <c r="AF173" s="10">
        <f>1336+269</f>
        <v>1605</v>
      </c>
      <c r="AG173" s="10">
        <v>269</v>
      </c>
      <c r="AH173" s="10">
        <v>32</v>
      </c>
      <c r="AI173" s="10">
        <v>0</v>
      </c>
      <c r="AJ173" s="10">
        <v>0</v>
      </c>
      <c r="AK173" s="10">
        <f>679+644+411</f>
        <v>1734</v>
      </c>
      <c r="AL173" s="10">
        <v>172</v>
      </c>
      <c r="AM173" s="10">
        <v>821</v>
      </c>
      <c r="AN173" s="10">
        <v>0</v>
      </c>
      <c r="AO173" s="10">
        <v>13837</v>
      </c>
      <c r="AP173" s="10">
        <v>14300</v>
      </c>
      <c r="AQ173" s="10">
        <v>15675</v>
      </c>
      <c r="AR173" s="12">
        <f t="shared" si="15"/>
        <v>0.96762237762237757</v>
      </c>
      <c r="AS173" s="10">
        <v>0</v>
      </c>
      <c r="AT173" s="10">
        <v>0</v>
      </c>
      <c r="AU173" s="10">
        <v>16833</v>
      </c>
      <c r="AV173" s="10">
        <v>0</v>
      </c>
      <c r="AW173" s="10">
        <v>6301</v>
      </c>
      <c r="AX173" s="10">
        <v>3870</v>
      </c>
      <c r="AY173" s="10">
        <v>3870</v>
      </c>
      <c r="AZ173" s="10">
        <v>0</v>
      </c>
      <c r="BA173" s="10">
        <v>63</v>
      </c>
      <c r="BB173" s="10">
        <v>28</v>
      </c>
      <c r="BC173" s="10">
        <v>1</v>
      </c>
      <c r="BD173" s="10">
        <v>0</v>
      </c>
      <c r="BE173" s="10">
        <v>-2</v>
      </c>
      <c r="BF173" s="10">
        <v>-11</v>
      </c>
      <c r="BG173" s="10">
        <v>-14</v>
      </c>
      <c r="BH173" s="10">
        <v>0</v>
      </c>
      <c r="BI173" s="10">
        <f t="shared" si="16"/>
        <v>65</v>
      </c>
      <c r="BJ173" s="1">
        <v>0</v>
      </c>
      <c r="BK173" s="1">
        <v>2</v>
      </c>
      <c r="BL173" s="1">
        <v>1</v>
      </c>
      <c r="BM173" s="1">
        <v>6</v>
      </c>
      <c r="BN173" s="1">
        <v>5</v>
      </c>
      <c r="BO173" s="1">
        <v>0</v>
      </c>
      <c r="BP173" s="1">
        <v>0</v>
      </c>
      <c r="BQ173" s="1">
        <v>0</v>
      </c>
      <c r="BR173" s="1">
        <v>0</v>
      </c>
      <c r="BS173" s="1">
        <v>2</v>
      </c>
      <c r="BT173" s="1">
        <v>0</v>
      </c>
      <c r="BU173" s="1">
        <v>0</v>
      </c>
      <c r="BV173" s="1">
        <v>0</v>
      </c>
      <c r="BW173" s="1">
        <v>1</v>
      </c>
      <c r="BX173" s="1">
        <v>10</v>
      </c>
      <c r="BY173" s="1">
        <v>0</v>
      </c>
    </row>
    <row r="174" spans="1:77">
      <c r="A174" s="1">
        <v>18</v>
      </c>
      <c r="B174" s="1" t="s">
        <v>718</v>
      </c>
      <c r="C174" s="7" t="s">
        <v>560</v>
      </c>
      <c r="D174" s="1" t="s">
        <v>527</v>
      </c>
      <c r="E174" s="1" t="s">
        <v>498</v>
      </c>
      <c r="F174" s="7"/>
      <c r="G174" s="7" t="s">
        <v>500</v>
      </c>
      <c r="H174" s="10">
        <v>17789248</v>
      </c>
      <c r="I174" s="10">
        <v>17850836</v>
      </c>
      <c r="J174" s="10">
        <v>659459</v>
      </c>
      <c r="K174" s="48">
        <v>0</v>
      </c>
      <c r="L174" s="48">
        <v>0</v>
      </c>
      <c r="M174" s="48">
        <v>5595520</v>
      </c>
      <c r="N174" s="48">
        <v>0</v>
      </c>
      <c r="O174" s="48">
        <v>0</v>
      </c>
      <c r="P174" s="48">
        <v>3466958</v>
      </c>
      <c r="Q174">
        <v>0</v>
      </c>
      <c r="R174" s="48">
        <v>3857758</v>
      </c>
      <c r="S174" s="10">
        <v>2482365</v>
      </c>
      <c r="T174" s="10">
        <v>3054</v>
      </c>
      <c r="U174" s="10">
        <v>0</v>
      </c>
      <c r="V174" s="10">
        <v>16897111</v>
      </c>
      <c r="W174" s="12">
        <v>0.06</v>
      </c>
      <c r="X174" s="10">
        <v>0</v>
      </c>
      <c r="Y174" s="22">
        <f>1487275/16891731</f>
        <v>8.8047518635005498E-2</v>
      </c>
      <c r="Z174" s="10">
        <v>1487309</v>
      </c>
      <c r="AA174" s="10">
        <v>0</v>
      </c>
      <c r="AB174" s="10">
        <f>56387+4821+6439</f>
        <v>67647</v>
      </c>
      <c r="AC174" s="10">
        <v>769002</v>
      </c>
      <c r="AD174" s="10">
        <v>78846</v>
      </c>
      <c r="AE174" s="10">
        <v>171128</v>
      </c>
      <c r="AF174" s="10">
        <v>210085</v>
      </c>
      <c r="AG174" s="10">
        <v>2340</v>
      </c>
      <c r="AH174" s="10">
        <v>19440</v>
      </c>
      <c r="AI174" s="10">
        <v>1988</v>
      </c>
      <c r="AJ174" s="10">
        <v>0</v>
      </c>
      <c r="AK174" s="10">
        <f>21483+23232+31852</f>
        <v>76567</v>
      </c>
      <c r="AL174" s="10">
        <v>15243</v>
      </c>
      <c r="AM174" s="10">
        <v>1322</v>
      </c>
      <c r="AN174" s="10">
        <v>15880</v>
      </c>
      <c r="AO174" s="10">
        <v>0</v>
      </c>
      <c r="AP174" s="10">
        <v>1453572</v>
      </c>
      <c r="AQ174" s="10">
        <v>1500267</v>
      </c>
      <c r="AR174" s="12">
        <f t="shared" si="15"/>
        <v>0</v>
      </c>
      <c r="AS174" s="10">
        <v>260</v>
      </c>
      <c r="AT174" s="10">
        <v>0</v>
      </c>
      <c r="AU174" s="10">
        <v>139662</v>
      </c>
      <c r="AV174" s="10">
        <v>0</v>
      </c>
      <c r="AW174" s="10">
        <v>191515</v>
      </c>
      <c r="AX174" s="10">
        <v>0</v>
      </c>
      <c r="AY174" s="10">
        <v>0</v>
      </c>
      <c r="AZ174" s="10">
        <v>0</v>
      </c>
      <c r="BA174" s="10">
        <v>4236</v>
      </c>
      <c r="BB174" s="10">
        <v>1832</v>
      </c>
      <c r="BC174" s="10">
        <v>0</v>
      </c>
      <c r="BD174" s="10">
        <v>-5</v>
      </c>
      <c r="BE174" s="10">
        <v>-204</v>
      </c>
      <c r="BF174" s="10">
        <v>-843</v>
      </c>
      <c r="BG174" s="10">
        <v>-852</v>
      </c>
      <c r="BH174" s="10">
        <v>-15</v>
      </c>
      <c r="BI174" s="10">
        <f t="shared" si="16"/>
        <v>4149</v>
      </c>
      <c r="BJ174" s="1">
        <v>60</v>
      </c>
      <c r="BK174" s="1">
        <v>153</v>
      </c>
      <c r="BL174" s="1">
        <v>50</v>
      </c>
      <c r="BM174" s="1">
        <v>280</v>
      </c>
      <c r="BN174" s="1">
        <v>288</v>
      </c>
      <c r="BO174" s="1">
        <v>83</v>
      </c>
      <c r="BP174" s="1" t="s">
        <v>453</v>
      </c>
      <c r="BQ174" s="1" t="s">
        <v>453</v>
      </c>
      <c r="BR174" s="1" t="s">
        <v>453</v>
      </c>
      <c r="BS174" s="1" t="s">
        <v>453</v>
      </c>
      <c r="BT174" s="1" t="s">
        <v>453</v>
      </c>
      <c r="BU174" s="1" t="s">
        <v>453</v>
      </c>
      <c r="BV174" s="1" t="s">
        <v>453</v>
      </c>
      <c r="BW174" s="1" t="s">
        <v>453</v>
      </c>
      <c r="BX174" s="1" t="s">
        <v>453</v>
      </c>
      <c r="BY174" s="1" t="s">
        <v>453</v>
      </c>
    </row>
    <row r="175" spans="1:77">
      <c r="A175" s="1">
        <v>18</v>
      </c>
      <c r="B175" s="1" t="s">
        <v>722</v>
      </c>
      <c r="C175" s="7" t="s">
        <v>104</v>
      </c>
      <c r="D175" s="1" t="s">
        <v>140</v>
      </c>
      <c r="E175" s="1" t="s">
        <v>307</v>
      </c>
      <c r="F175" s="7"/>
      <c r="G175" s="7" t="s">
        <v>308</v>
      </c>
      <c r="H175" s="10">
        <v>3045148</v>
      </c>
      <c r="I175" s="10">
        <v>3053129</v>
      </c>
      <c r="J175" s="10">
        <v>129173</v>
      </c>
      <c r="K175" s="48">
        <v>0</v>
      </c>
      <c r="L175" s="48">
        <v>13623</v>
      </c>
      <c r="M175" s="48">
        <v>1205320</v>
      </c>
      <c r="N175" s="48">
        <v>0</v>
      </c>
      <c r="O175" s="48">
        <v>2876</v>
      </c>
      <c r="P175" s="48">
        <v>396589</v>
      </c>
      <c r="Q175" s="48">
        <v>0</v>
      </c>
      <c r="R175" s="10">
        <v>905113</v>
      </c>
      <c r="S175" s="10">
        <v>161690</v>
      </c>
      <c r="T175" s="10">
        <v>0</v>
      </c>
      <c r="U175" s="10">
        <v>0</v>
      </c>
      <c r="V175" s="10">
        <v>2991482</v>
      </c>
      <c r="W175" s="12">
        <v>0.06</v>
      </c>
      <c r="X175" s="10">
        <v>0</v>
      </c>
      <c r="Y175" s="22">
        <f>279026/2964237</f>
        <v>9.4130799932663947E-2</v>
      </c>
      <c r="Z175" s="10">
        <v>278894</v>
      </c>
      <c r="AA175" s="10">
        <v>0</v>
      </c>
      <c r="AB175" s="10">
        <f>7981+730</f>
        <v>8711</v>
      </c>
      <c r="AC175" s="10">
        <v>82894</v>
      </c>
      <c r="AD175" s="10">
        <v>7051</v>
      </c>
      <c r="AE175" s="10">
        <v>11158</v>
      </c>
      <c r="AF175" s="10">
        <v>11620</v>
      </c>
      <c r="AG175" s="10">
        <v>375</v>
      </c>
      <c r="AH175" s="10">
        <v>12552</v>
      </c>
      <c r="AI175" s="10">
        <v>0</v>
      </c>
      <c r="AJ175" s="10">
        <v>0</v>
      </c>
      <c r="AK175" s="10">
        <f>4964+4393+6386</f>
        <v>15743</v>
      </c>
      <c r="AL175" s="10">
        <v>0</v>
      </c>
      <c r="AM175" s="10">
        <v>4269</v>
      </c>
      <c r="AN175" s="10">
        <v>0</v>
      </c>
      <c r="AO175" s="10">
        <v>32885</v>
      </c>
      <c r="AP175" s="10">
        <v>158605</v>
      </c>
      <c r="AQ175" s="10">
        <v>173556</v>
      </c>
      <c r="AR175" s="12">
        <f t="shared" si="15"/>
        <v>0.20733898679108478</v>
      </c>
      <c r="AS175" s="10">
        <v>0</v>
      </c>
      <c r="AT175" s="10">
        <v>0</v>
      </c>
      <c r="AU175" s="10">
        <v>139662</v>
      </c>
      <c r="AV175" s="10">
        <v>0</v>
      </c>
      <c r="AW175" s="10">
        <v>23581</v>
      </c>
      <c r="AX175" s="10">
        <v>0</v>
      </c>
      <c r="AY175" s="10">
        <v>0</v>
      </c>
      <c r="AZ175" s="10">
        <v>0</v>
      </c>
      <c r="BA175" s="10">
        <v>601</v>
      </c>
      <c r="BB175" s="10">
        <v>210</v>
      </c>
      <c r="BC175" s="10">
        <v>0</v>
      </c>
      <c r="BD175" s="10">
        <v>0</v>
      </c>
      <c r="BE175" s="10">
        <v>-34</v>
      </c>
      <c r="BF175" s="10">
        <v>-40</v>
      </c>
      <c r="BG175" s="10">
        <v>-96</v>
      </c>
      <c r="BH175" s="10">
        <v>0</v>
      </c>
      <c r="BI175" s="10">
        <f t="shared" si="16"/>
        <v>641</v>
      </c>
      <c r="BJ175" s="1">
        <v>7</v>
      </c>
      <c r="BK175" s="1">
        <v>12</v>
      </c>
      <c r="BL175" s="1">
        <v>14</v>
      </c>
      <c r="BM175" s="1">
        <v>94</v>
      </c>
      <c r="BN175" s="1">
        <v>12</v>
      </c>
      <c r="BO175" s="1">
        <v>1</v>
      </c>
      <c r="BP175" s="1">
        <v>0</v>
      </c>
      <c r="BQ175" s="1">
        <v>0</v>
      </c>
      <c r="BR175" s="1">
        <v>9</v>
      </c>
      <c r="BS175" s="1">
        <v>23</v>
      </c>
      <c r="BT175" s="1">
        <v>0</v>
      </c>
      <c r="BU175" s="1">
        <v>0</v>
      </c>
      <c r="BV175" s="1">
        <v>2</v>
      </c>
      <c r="BW175" s="1">
        <v>7</v>
      </c>
      <c r="BX175" s="1">
        <v>19</v>
      </c>
      <c r="BY175" s="1">
        <v>1</v>
      </c>
    </row>
    <row r="176" spans="1:77">
      <c r="A176" s="1">
        <v>19</v>
      </c>
      <c r="B176" s="1" t="s">
        <v>38</v>
      </c>
      <c r="C176" s="7" t="s">
        <v>354</v>
      </c>
      <c r="D176" s="1" t="s">
        <v>585</v>
      </c>
      <c r="E176" s="1" t="s">
        <v>671</v>
      </c>
      <c r="F176" s="7"/>
      <c r="G176" s="7" t="s">
        <v>672</v>
      </c>
      <c r="H176" s="10">
        <v>15575246</v>
      </c>
      <c r="I176" s="10">
        <v>15686058</v>
      </c>
      <c r="J176" s="10">
        <v>1241392</v>
      </c>
      <c r="K176" s="48">
        <v>0</v>
      </c>
      <c r="L176" s="33">
        <v>938318</v>
      </c>
      <c r="M176" s="48">
        <v>5840211</v>
      </c>
      <c r="N176" s="48">
        <v>0</v>
      </c>
      <c r="O176" s="48">
        <v>0</v>
      </c>
      <c r="P176" s="48">
        <v>898243</v>
      </c>
      <c r="Q176" s="48">
        <v>0</v>
      </c>
      <c r="R176" s="10">
        <v>2672453</v>
      </c>
      <c r="S176" s="10">
        <v>1861533</v>
      </c>
      <c r="T176" s="10">
        <v>101289</v>
      </c>
      <c r="U176" s="10">
        <v>0</v>
      </c>
      <c r="V176" s="10">
        <v>13404884</v>
      </c>
      <c r="W176" s="12">
        <v>0.2228</v>
      </c>
      <c r="X176" s="10">
        <v>0</v>
      </c>
      <c r="Y176" s="22">
        <f>1075128/13303595</f>
        <v>8.0814847415303911E-2</v>
      </c>
      <c r="Z176" s="10">
        <v>1074704</v>
      </c>
      <c r="AA176" s="10">
        <v>255686</v>
      </c>
      <c r="AB176" s="10">
        <f>67661+9521</f>
        <v>77182</v>
      </c>
      <c r="AC176" s="10">
        <v>589918</v>
      </c>
      <c r="AD176" s="10">
        <v>47214</v>
      </c>
      <c r="AE176" s="10">
        <v>132605</v>
      </c>
      <c r="AF176" s="10">
        <v>100584</v>
      </c>
      <c r="AG176" s="10">
        <v>2224</v>
      </c>
      <c r="AH176" s="10">
        <v>30992</v>
      </c>
      <c r="AI176" s="10">
        <v>1992</v>
      </c>
      <c r="AJ176" s="10">
        <v>0</v>
      </c>
      <c r="AK176" s="10">
        <f>8996+29990+31988</f>
        <v>70974</v>
      </c>
      <c r="AL176" s="10">
        <v>12388</v>
      </c>
      <c r="AM176" s="10">
        <v>3498</v>
      </c>
      <c r="AN176" s="10">
        <v>65261</v>
      </c>
      <c r="AO176" s="10">
        <v>0</v>
      </c>
      <c r="AP176" s="10">
        <v>1137744</v>
      </c>
      <c r="AQ176" s="10">
        <v>1168319</v>
      </c>
      <c r="AR176" s="12">
        <f t="shared" si="15"/>
        <v>0</v>
      </c>
      <c r="AS176" s="10">
        <v>0</v>
      </c>
      <c r="AT176" s="10">
        <v>0</v>
      </c>
      <c r="AU176" s="10">
        <v>139662</v>
      </c>
      <c r="AV176" s="10">
        <v>0</v>
      </c>
      <c r="AW176" s="10">
        <v>142897</v>
      </c>
      <c r="AX176" s="10">
        <v>0</v>
      </c>
      <c r="AY176" s="10">
        <v>0</v>
      </c>
      <c r="AZ176" s="10">
        <v>0</v>
      </c>
      <c r="BA176" s="10">
        <v>4122</v>
      </c>
      <c r="BB176" s="10">
        <v>3082</v>
      </c>
      <c r="BC176" s="10">
        <v>0</v>
      </c>
      <c r="BD176" s="10">
        <v>-13</v>
      </c>
      <c r="BE176" s="10">
        <v>-400</v>
      </c>
      <c r="BF176" s="10">
        <v>-1521</v>
      </c>
      <c r="BG176" s="10">
        <v>-143</v>
      </c>
      <c r="BH176" s="10">
        <v>0</v>
      </c>
      <c r="BI176" s="10">
        <f t="shared" si="16"/>
        <v>5127</v>
      </c>
      <c r="BJ176" s="1">
        <v>0</v>
      </c>
      <c r="BK176" s="1">
        <v>50</v>
      </c>
      <c r="BL176" s="1">
        <v>14</v>
      </c>
      <c r="BM176" s="1">
        <v>71</v>
      </c>
      <c r="BN176" s="1">
        <v>0</v>
      </c>
      <c r="BO176" s="1">
        <v>4</v>
      </c>
      <c r="BP176" s="1">
        <v>1</v>
      </c>
      <c r="BQ176" s="1">
        <v>1</v>
      </c>
      <c r="BR176" s="1">
        <v>12</v>
      </c>
      <c r="BS176" s="1">
        <v>140</v>
      </c>
      <c r="BT176" s="1">
        <v>0</v>
      </c>
      <c r="BU176" s="1">
        <v>1</v>
      </c>
      <c r="BV176" s="1">
        <v>5</v>
      </c>
      <c r="BW176" s="1">
        <v>46</v>
      </c>
      <c r="BX176" s="1">
        <v>422</v>
      </c>
      <c r="BY176" s="1">
        <v>3</v>
      </c>
    </row>
    <row r="177" spans="1:77">
      <c r="A177" s="1">
        <v>19</v>
      </c>
      <c r="B177" s="1" t="s">
        <v>189</v>
      </c>
      <c r="C177" s="7" t="s">
        <v>40</v>
      </c>
      <c r="D177" s="1" t="s">
        <v>585</v>
      </c>
      <c r="E177" s="1" t="s">
        <v>671</v>
      </c>
      <c r="F177" s="7"/>
      <c r="G177" s="7" t="s">
        <v>672</v>
      </c>
      <c r="H177" s="10">
        <v>15502422</v>
      </c>
      <c r="I177" s="10">
        <v>15614485</v>
      </c>
      <c r="J177" s="10">
        <v>1104028</v>
      </c>
      <c r="K177" s="48">
        <v>0</v>
      </c>
      <c r="L177" s="48">
        <v>0</v>
      </c>
      <c r="M177" s="48">
        <v>0</v>
      </c>
      <c r="N177" s="48">
        <v>7827875</v>
      </c>
      <c r="O177" s="48">
        <v>859938</v>
      </c>
      <c r="P177" s="48">
        <v>0</v>
      </c>
      <c r="Q177" s="48">
        <v>0</v>
      </c>
      <c r="R177" s="10">
        <v>1851429</v>
      </c>
      <c r="S177" s="10">
        <v>2102657</v>
      </c>
      <c r="T177" s="10">
        <v>106662</v>
      </c>
      <c r="U177" s="10">
        <v>0</v>
      </c>
      <c r="V177" s="10">
        <v>14072306</v>
      </c>
      <c r="W177" s="12">
        <v>0.14460000000000001</v>
      </c>
      <c r="X177" s="10">
        <v>0</v>
      </c>
      <c r="Y177" s="22">
        <f>1285711/13924395</f>
        <v>9.233514274767414E-2</v>
      </c>
      <c r="Z177" s="10">
        <v>1282496</v>
      </c>
      <c r="AA177" s="10">
        <v>412490</v>
      </c>
      <c r="AB177" s="10">
        <f>70857+1157</f>
        <v>72014</v>
      </c>
      <c r="AC177" s="10">
        <v>584996</v>
      </c>
      <c r="AD177" s="10">
        <v>44361</v>
      </c>
      <c r="AE177" s="3">
        <v>115520</v>
      </c>
      <c r="AF177" s="10">
        <v>80518</v>
      </c>
      <c r="AG177" s="10">
        <v>2827</v>
      </c>
      <c r="AH177" s="10">
        <v>49791</v>
      </c>
      <c r="AI177" s="10">
        <v>8489</v>
      </c>
      <c r="AJ177" s="10">
        <v>0</v>
      </c>
      <c r="AK177" s="10">
        <f>9894+24987+34798</f>
        <v>69679</v>
      </c>
      <c r="AL177" s="10">
        <v>11233</v>
      </c>
      <c r="AM177" s="10">
        <v>9757</v>
      </c>
      <c r="AN177" s="10">
        <v>4045</v>
      </c>
      <c r="AO177" s="10">
        <v>0</v>
      </c>
      <c r="AP177" s="10">
        <v>1116168</v>
      </c>
      <c r="AQ177" s="10">
        <v>1141356</v>
      </c>
      <c r="AR177" s="12">
        <f t="shared" si="15"/>
        <v>0</v>
      </c>
      <c r="AS177" s="10">
        <v>0</v>
      </c>
      <c r="AT177" s="10">
        <v>0</v>
      </c>
      <c r="AU177" s="10">
        <v>139662</v>
      </c>
      <c r="AV177" s="10">
        <v>0</v>
      </c>
      <c r="AW177" s="10">
        <v>146082</v>
      </c>
      <c r="AX177" s="10">
        <v>0</v>
      </c>
      <c r="AY177" s="10">
        <v>0</v>
      </c>
      <c r="AZ177" s="10">
        <v>0</v>
      </c>
      <c r="BA177" s="10">
        <v>3874</v>
      </c>
      <c r="BB177" s="10">
        <v>2810</v>
      </c>
      <c r="BC177" s="10">
        <v>50</v>
      </c>
      <c r="BD177" s="10">
        <f>31-49</f>
        <v>-18</v>
      </c>
      <c r="BE177" s="10">
        <v>-285</v>
      </c>
      <c r="BF177" s="10">
        <v>-974</v>
      </c>
      <c r="BG177" s="10">
        <v>-42</v>
      </c>
      <c r="BH177" s="10">
        <v>0</v>
      </c>
      <c r="BI177" s="10">
        <f t="shared" si="16"/>
        <v>5415</v>
      </c>
      <c r="BJ177" s="1">
        <v>0</v>
      </c>
      <c r="BK177" s="1">
        <v>19</v>
      </c>
      <c r="BL177" s="1">
        <v>2</v>
      </c>
      <c r="BM177" s="1">
        <v>21</v>
      </c>
      <c r="BN177" s="1">
        <v>0</v>
      </c>
      <c r="BO177" s="1">
        <v>0</v>
      </c>
      <c r="BP177" s="1">
        <v>0</v>
      </c>
      <c r="BQ177" s="1">
        <v>1</v>
      </c>
      <c r="BR177" s="1">
        <v>8</v>
      </c>
      <c r="BS177" s="1">
        <v>119</v>
      </c>
      <c r="BT177" s="1">
        <v>0</v>
      </c>
      <c r="BU177" s="1">
        <v>1</v>
      </c>
      <c r="BV177" s="1">
        <v>0</v>
      </c>
      <c r="BW177" s="1">
        <v>10</v>
      </c>
      <c r="BX177" s="1">
        <v>103</v>
      </c>
      <c r="BY177" s="1">
        <v>2</v>
      </c>
    </row>
    <row r="178" spans="1:77">
      <c r="A178" s="1">
        <v>19</v>
      </c>
      <c r="B178" s="1" t="s">
        <v>204</v>
      </c>
      <c r="C178" s="7" t="s">
        <v>604</v>
      </c>
      <c r="D178" s="1" t="s">
        <v>127</v>
      </c>
      <c r="E178" s="1" t="s">
        <v>715</v>
      </c>
      <c r="F178" s="7"/>
      <c r="G178" s="7" t="s">
        <v>717</v>
      </c>
      <c r="H178" s="10">
        <v>1574389</v>
      </c>
      <c r="I178" s="10">
        <v>1589105</v>
      </c>
      <c r="J178" s="10">
        <v>43339</v>
      </c>
      <c r="K178" s="48">
        <v>0</v>
      </c>
      <c r="L178" s="48">
        <v>0</v>
      </c>
      <c r="M178" s="48">
        <v>0</v>
      </c>
      <c r="N178" s="48">
        <v>941712</v>
      </c>
      <c r="O178" s="48">
        <v>0</v>
      </c>
      <c r="P178" s="48">
        <v>0</v>
      </c>
      <c r="Q178" s="48">
        <v>172867</v>
      </c>
      <c r="R178" s="10">
        <v>414851</v>
      </c>
      <c r="S178" s="10">
        <v>20392</v>
      </c>
      <c r="T178" s="10">
        <v>1054</v>
      </c>
      <c r="U178" s="10">
        <v>0</v>
      </c>
      <c r="V178" s="10">
        <v>1724155</v>
      </c>
      <c r="W178" s="12">
        <v>0.14430000000000001</v>
      </c>
      <c r="X178" s="10">
        <v>0</v>
      </c>
      <c r="Y178" s="22">
        <f>158282/1720230</f>
        <v>9.2012114659086292E-2</v>
      </c>
      <c r="Z178" s="10">
        <v>158054</v>
      </c>
      <c r="AA178" s="10">
        <v>31620</v>
      </c>
      <c r="AB178" s="10">
        <f>11121+1568+1521</f>
        <v>14210</v>
      </c>
      <c r="AC178" s="10">
        <v>45167</v>
      </c>
      <c r="AD178" s="10">
        <v>3772</v>
      </c>
      <c r="AE178" s="10">
        <v>0</v>
      </c>
      <c r="AF178" s="10">
        <v>9900</v>
      </c>
      <c r="AG178" s="10">
        <v>10630</v>
      </c>
      <c r="AH178" s="10">
        <v>249</v>
      </c>
      <c r="AI178" s="10">
        <v>8698</v>
      </c>
      <c r="AJ178" s="10">
        <v>0</v>
      </c>
      <c r="AK178" s="10">
        <f>2297+4455+3658</f>
        <v>10410</v>
      </c>
      <c r="AL178" s="10">
        <v>250</v>
      </c>
      <c r="AM178" s="10">
        <v>0</v>
      </c>
      <c r="AN178" s="10">
        <v>1522</v>
      </c>
      <c r="AO178" s="10">
        <v>16446</v>
      </c>
      <c r="AP178" s="10">
        <v>100861</v>
      </c>
      <c r="AQ178" s="10">
        <v>103900</v>
      </c>
      <c r="AR178" s="12">
        <f t="shared" si="15"/>
        <v>0.16305608709015379</v>
      </c>
      <c r="AS178" s="10">
        <v>0</v>
      </c>
      <c r="AT178" s="10">
        <v>0</v>
      </c>
      <c r="AU178" s="10">
        <v>78132</v>
      </c>
      <c r="AV178" s="10">
        <v>81</v>
      </c>
      <c r="AW178" s="10">
        <v>16474</v>
      </c>
      <c r="AX178" s="10">
        <v>0</v>
      </c>
      <c r="AY178" s="10">
        <v>0</v>
      </c>
      <c r="AZ178" s="10">
        <v>0</v>
      </c>
      <c r="BA178" s="10">
        <v>377</v>
      </c>
      <c r="BB178" s="10">
        <v>2</v>
      </c>
      <c r="BC178" s="10">
        <v>0</v>
      </c>
      <c r="BD178" s="10">
        <v>0</v>
      </c>
      <c r="BE178" s="10">
        <v>-21</v>
      </c>
      <c r="BF178" s="10">
        <v>-24</v>
      </c>
      <c r="BG178" s="10">
        <v>-104</v>
      </c>
      <c r="BH178" s="10">
        <v>-1</v>
      </c>
      <c r="BI178" s="10">
        <f t="shared" si="16"/>
        <v>229</v>
      </c>
      <c r="BJ178" s="1">
        <v>0</v>
      </c>
      <c r="BK178" s="1">
        <v>9</v>
      </c>
      <c r="BL178" s="1">
        <v>4</v>
      </c>
      <c r="BM178" s="1">
        <v>91</v>
      </c>
      <c r="BN178" s="1">
        <v>0</v>
      </c>
      <c r="BO178" s="1">
        <v>0</v>
      </c>
      <c r="BP178" s="1">
        <v>0</v>
      </c>
      <c r="BQ178" s="1">
        <v>0</v>
      </c>
      <c r="BR178" s="1">
        <v>20</v>
      </c>
      <c r="BS178" s="1">
        <v>0</v>
      </c>
      <c r="BT178" s="1">
        <v>0</v>
      </c>
      <c r="BU178" s="1">
        <v>1</v>
      </c>
      <c r="BV178" s="1">
        <v>1</v>
      </c>
      <c r="BW178" s="1">
        <v>18</v>
      </c>
      <c r="BX178" s="1">
        <v>1</v>
      </c>
      <c r="BY178" s="1">
        <v>0</v>
      </c>
    </row>
    <row r="179" spans="1:77">
      <c r="A179" s="1">
        <v>19</v>
      </c>
      <c r="B179" s="1" t="s">
        <v>629</v>
      </c>
      <c r="C179" s="7" t="s">
        <v>406</v>
      </c>
      <c r="D179" s="1" t="s">
        <v>127</v>
      </c>
      <c r="E179" s="1" t="s">
        <v>715</v>
      </c>
      <c r="F179" s="7"/>
      <c r="G179" s="7" t="s">
        <v>716</v>
      </c>
      <c r="H179" s="10">
        <v>673760</v>
      </c>
      <c r="I179" s="10">
        <v>682481</v>
      </c>
      <c r="J179" s="10">
        <v>27096</v>
      </c>
      <c r="K179" s="48">
        <v>0</v>
      </c>
      <c r="L179" s="33">
        <v>32491</v>
      </c>
      <c r="M179" s="48">
        <v>228869</v>
      </c>
      <c r="N179" s="48">
        <v>0</v>
      </c>
      <c r="O179" s="48">
        <v>0</v>
      </c>
      <c r="P179" s="48">
        <v>0</v>
      </c>
      <c r="Q179" s="48">
        <v>63220</v>
      </c>
      <c r="R179" s="10">
        <v>157093</v>
      </c>
      <c r="S179" s="10">
        <v>100518</v>
      </c>
      <c r="T179" s="10">
        <v>1318</v>
      </c>
      <c r="U179" s="10">
        <v>0</v>
      </c>
      <c r="V179" s="10">
        <v>649476</v>
      </c>
      <c r="W179" s="12">
        <v>0.24590000000000001</v>
      </c>
      <c r="X179" s="10">
        <v>0</v>
      </c>
      <c r="Y179" s="22">
        <f>64686/646865</f>
        <v>9.9999227041190977E-2</v>
      </c>
      <c r="Z179" s="10">
        <v>64630</v>
      </c>
      <c r="AA179" s="10">
        <v>12930</v>
      </c>
      <c r="AB179" s="10">
        <f>6324+415</f>
        <v>6739</v>
      </c>
      <c r="AC179" s="10">
        <v>14220</v>
      </c>
      <c r="AD179" s="10">
        <v>1688</v>
      </c>
      <c r="AE179" s="10">
        <v>0</v>
      </c>
      <c r="AF179" s="10">
        <v>1200</v>
      </c>
      <c r="AG179" s="10">
        <v>6500</v>
      </c>
      <c r="AH179" s="10">
        <v>1000</v>
      </c>
      <c r="AI179" s="10">
        <v>0</v>
      </c>
      <c r="AJ179" s="10">
        <v>0</v>
      </c>
      <c r="AK179" s="10">
        <f>1228+3356+1207</f>
        <v>5791</v>
      </c>
      <c r="AL179" s="10">
        <v>1787</v>
      </c>
      <c r="AM179" s="10">
        <v>623</v>
      </c>
      <c r="AN179" s="10">
        <v>3269</v>
      </c>
      <c r="AO179" s="10">
        <v>0</v>
      </c>
      <c r="AP179" s="10">
        <v>39749</v>
      </c>
      <c r="AQ179" s="10">
        <v>40332</v>
      </c>
      <c r="AR179" s="12">
        <f t="shared" si="15"/>
        <v>0</v>
      </c>
      <c r="AS179" s="10">
        <v>0</v>
      </c>
      <c r="AT179" s="10">
        <v>0</v>
      </c>
      <c r="AU179" s="10">
        <v>32868</v>
      </c>
      <c r="AV179" s="10">
        <v>0</v>
      </c>
      <c r="AW179" s="10">
        <v>3626</v>
      </c>
      <c r="AX179" s="10">
        <v>0</v>
      </c>
      <c r="AY179" s="10">
        <v>0</v>
      </c>
      <c r="AZ179" s="10">
        <v>5037</v>
      </c>
      <c r="BA179" s="10">
        <v>135</v>
      </c>
      <c r="BB179" s="10">
        <v>118</v>
      </c>
      <c r="BC179" s="10">
        <v>0</v>
      </c>
      <c r="BD179" s="10">
        <v>6</v>
      </c>
      <c r="BE179" s="10">
        <v>-33</v>
      </c>
      <c r="BF179" s="10">
        <v>-28</v>
      </c>
      <c r="BG179" s="10">
        <v>-2</v>
      </c>
      <c r="BH179" s="10">
        <v>0</v>
      </c>
      <c r="BI179" s="10">
        <f t="shared" si="16"/>
        <v>196</v>
      </c>
      <c r="BJ179" s="1">
        <v>0</v>
      </c>
      <c r="BK179" s="1">
        <v>1</v>
      </c>
      <c r="BL179" s="1">
        <v>0</v>
      </c>
      <c r="BM179" s="1">
        <v>0</v>
      </c>
      <c r="BN179" s="1">
        <v>0</v>
      </c>
      <c r="BO179" s="1">
        <v>1</v>
      </c>
      <c r="BP179" s="1">
        <v>0</v>
      </c>
      <c r="BQ179" s="1">
        <v>0</v>
      </c>
      <c r="BR179" s="1">
        <v>5</v>
      </c>
      <c r="BS179" s="1">
        <v>1</v>
      </c>
      <c r="BT179" s="1">
        <v>0</v>
      </c>
      <c r="BU179" s="1">
        <v>0</v>
      </c>
      <c r="BV179" s="1">
        <v>0</v>
      </c>
      <c r="BW179" s="1">
        <v>4</v>
      </c>
      <c r="BX179" s="1">
        <v>2</v>
      </c>
      <c r="BY179" s="1">
        <v>1</v>
      </c>
    </row>
    <row r="180" spans="1:77">
      <c r="A180" s="1">
        <v>19</v>
      </c>
      <c r="B180" s="1" t="s">
        <v>657</v>
      </c>
      <c r="C180" s="7" t="s">
        <v>507</v>
      </c>
      <c r="D180" s="1" t="s">
        <v>585</v>
      </c>
      <c r="E180" s="1" t="s">
        <v>671</v>
      </c>
      <c r="F180" s="7"/>
      <c r="G180" s="7" t="s">
        <v>672</v>
      </c>
      <c r="H180" s="10">
        <v>4565149</v>
      </c>
      <c r="I180" s="10">
        <v>4578849</v>
      </c>
      <c r="J180" s="10">
        <v>260099</v>
      </c>
      <c r="K180" s="48">
        <v>0</v>
      </c>
      <c r="L180" s="48">
        <v>0</v>
      </c>
      <c r="M180" s="48">
        <v>0</v>
      </c>
      <c r="N180" s="48">
        <v>961882</v>
      </c>
      <c r="O180" s="48">
        <v>0</v>
      </c>
      <c r="P180" s="48">
        <v>0</v>
      </c>
      <c r="Q180" s="48">
        <v>555834</v>
      </c>
      <c r="R180" s="10">
        <v>2893477</v>
      </c>
      <c r="S180" s="10">
        <v>44443</v>
      </c>
      <c r="T180" s="10">
        <v>0</v>
      </c>
      <c r="U180" s="10">
        <v>0</v>
      </c>
      <c r="V180" s="10">
        <v>4746849</v>
      </c>
      <c r="W180" s="12">
        <v>6.2199999999999998E-2</v>
      </c>
      <c r="X180" s="10">
        <v>0</v>
      </c>
      <c r="Y180" s="22">
        <f>290240/4746808</f>
        <v>6.1144246828605663E-2</v>
      </c>
      <c r="Z180" s="10">
        <v>291172</v>
      </c>
      <c r="AA180" s="10">
        <v>0</v>
      </c>
      <c r="AB180" s="10">
        <f>13659+7223+1616</f>
        <v>22498</v>
      </c>
      <c r="AC180" s="10">
        <v>93434</v>
      </c>
      <c r="AD180" s="10">
        <v>7654</v>
      </c>
      <c r="AE180" s="10">
        <v>11892</v>
      </c>
      <c r="AF180" s="10">
        <v>22087</v>
      </c>
      <c r="AG180" s="10">
        <v>2280</v>
      </c>
      <c r="AH180" s="10">
        <v>10231</v>
      </c>
      <c r="AI180" s="10">
        <v>0</v>
      </c>
      <c r="AJ180" s="10">
        <v>0</v>
      </c>
      <c r="AK180" s="10">
        <f>6254+2368+3728</f>
        <v>12350</v>
      </c>
      <c r="AL180" s="10">
        <v>0</v>
      </c>
      <c r="AM180" s="10">
        <v>0</v>
      </c>
      <c r="AN180" s="10">
        <v>0</v>
      </c>
      <c r="AO180" s="10">
        <v>0</v>
      </c>
      <c r="AP180" s="10">
        <v>198209</v>
      </c>
      <c r="AQ180" s="10">
        <v>204775</v>
      </c>
      <c r="AR180" s="12">
        <f t="shared" si="15"/>
        <v>0</v>
      </c>
      <c r="AS180" s="10">
        <v>368</v>
      </c>
      <c r="AT180" s="10">
        <v>0</v>
      </c>
      <c r="AU180" s="10">
        <v>139638</v>
      </c>
      <c r="AV180" s="10">
        <v>0</v>
      </c>
      <c r="AW180" s="10">
        <v>25870</v>
      </c>
      <c r="AX180" s="10">
        <v>0</v>
      </c>
      <c r="AY180" s="10">
        <v>0</v>
      </c>
      <c r="AZ180" s="10">
        <v>0</v>
      </c>
      <c r="BA180" s="10">
        <v>1465</v>
      </c>
      <c r="BB180" s="10">
        <v>0</v>
      </c>
      <c r="BC180" s="10">
        <v>0</v>
      </c>
      <c r="BD180" s="10">
        <v>0</v>
      </c>
      <c r="BE180" s="10">
        <v>-41</v>
      </c>
      <c r="BF180" s="10">
        <v>-126</v>
      </c>
      <c r="BG180" s="10">
        <v>-652</v>
      </c>
      <c r="BH180" s="10">
        <v>0</v>
      </c>
      <c r="BI180" s="10">
        <f t="shared" si="16"/>
        <v>646</v>
      </c>
      <c r="BJ180" s="1">
        <v>1</v>
      </c>
      <c r="BK180" s="1">
        <v>101</v>
      </c>
      <c r="BL180" s="1">
        <v>69</v>
      </c>
      <c r="BM180" s="1">
        <v>490</v>
      </c>
      <c r="BN180" s="1">
        <v>0</v>
      </c>
      <c r="BO180" s="1">
        <v>0</v>
      </c>
      <c r="BP180" s="1" t="s">
        <v>453</v>
      </c>
      <c r="BQ180" s="1" t="s">
        <v>453</v>
      </c>
      <c r="BR180" s="1" t="s">
        <v>453</v>
      </c>
      <c r="BS180" s="1" t="s">
        <v>453</v>
      </c>
      <c r="BT180" s="1" t="s">
        <v>453</v>
      </c>
      <c r="BU180" s="1" t="s">
        <v>453</v>
      </c>
      <c r="BV180" s="1" t="s">
        <v>453</v>
      </c>
      <c r="BW180" s="1" t="s">
        <v>453</v>
      </c>
      <c r="BX180" s="1" t="s">
        <v>453</v>
      </c>
      <c r="BY180" s="1" t="s">
        <v>453</v>
      </c>
    </row>
    <row r="181" spans="1:77">
      <c r="A181" s="1">
        <v>19</v>
      </c>
      <c r="B181" s="1" t="s">
        <v>721</v>
      </c>
      <c r="C181" s="7" t="s">
        <v>584</v>
      </c>
      <c r="D181" s="1" t="s">
        <v>182</v>
      </c>
      <c r="E181" s="1" t="s">
        <v>139</v>
      </c>
      <c r="F181" s="7"/>
      <c r="G181" s="7" t="s">
        <v>142</v>
      </c>
      <c r="H181" s="10">
        <v>21743107</v>
      </c>
      <c r="I181" s="10">
        <v>21948842</v>
      </c>
      <c r="J181" s="10">
        <v>707612</v>
      </c>
      <c r="K181" s="48">
        <v>13630</v>
      </c>
      <c r="L181" s="48">
        <v>0</v>
      </c>
      <c r="M181" s="48">
        <v>0</v>
      </c>
      <c r="N181" s="48">
        <v>8538535</v>
      </c>
      <c r="O181" s="48">
        <v>0</v>
      </c>
      <c r="P181" s="48">
        <v>0</v>
      </c>
      <c r="Q181" s="48">
        <v>3724950</v>
      </c>
      <c r="R181" s="10">
        <v>6024394</v>
      </c>
      <c r="S181" s="10">
        <v>1801649</v>
      </c>
      <c r="T181" s="10">
        <v>0</v>
      </c>
      <c r="U181" s="10">
        <v>0</v>
      </c>
      <c r="V181" s="10">
        <v>20974515</v>
      </c>
      <c r="W181" s="12">
        <v>0.27800000000000002</v>
      </c>
      <c r="X181" s="10">
        <v>0</v>
      </c>
      <c r="Y181" s="22">
        <f>839470/20136822</f>
        <v>4.1688306128941297E-2</v>
      </c>
      <c r="Z181" s="10">
        <v>837693</v>
      </c>
      <c r="AA181" s="10">
        <v>0</v>
      </c>
      <c r="AB181" s="10">
        <f>199554+17230+2175</f>
        <v>218959</v>
      </c>
      <c r="AC181" s="10">
        <v>529140</v>
      </c>
      <c r="AD181" s="10">
        <v>42706</v>
      </c>
      <c r="AE181" s="10">
        <v>113815</v>
      </c>
      <c r="AF181" s="10">
        <v>70552</v>
      </c>
      <c r="AG181" s="10">
        <v>6881</v>
      </c>
      <c r="AH181" s="10">
        <v>10021</v>
      </c>
      <c r="AI181" s="10">
        <v>8346</v>
      </c>
      <c r="AJ181" s="10">
        <v>0</v>
      </c>
      <c r="AK181" s="10">
        <f>7637+24832+16770</f>
        <v>49239</v>
      </c>
      <c r="AL181" s="10">
        <v>5513</v>
      </c>
      <c r="AM181" s="10">
        <v>0</v>
      </c>
      <c r="AN181" s="10">
        <v>20418</v>
      </c>
      <c r="AO181" s="10">
        <v>0</v>
      </c>
      <c r="AP181" s="10">
        <v>923411</v>
      </c>
      <c r="AQ181" s="10">
        <v>939902</v>
      </c>
      <c r="AR181" s="12">
        <f t="shared" si="15"/>
        <v>0</v>
      </c>
      <c r="AS181" s="10">
        <v>1000</v>
      </c>
      <c r="AT181" s="10">
        <v>0</v>
      </c>
      <c r="AU181" s="10">
        <v>139662</v>
      </c>
      <c r="AV181" s="10">
        <v>0</v>
      </c>
      <c r="AW181" s="10">
        <v>145593</v>
      </c>
      <c r="AX181" s="10">
        <v>0</v>
      </c>
      <c r="AY181" s="10">
        <v>0</v>
      </c>
      <c r="AZ181" s="10">
        <v>0</v>
      </c>
      <c r="BA181" s="10">
        <v>5504</v>
      </c>
      <c r="BB181" s="10">
        <v>2373</v>
      </c>
      <c r="BC181" s="10">
        <v>0</v>
      </c>
      <c r="BD181" s="10">
        <f>1+60</f>
        <v>61</v>
      </c>
      <c r="BE181" s="10">
        <v>-264</v>
      </c>
      <c r="BF181" s="10">
        <v>-1102</v>
      </c>
      <c r="BG181" s="10">
        <v>-1401</v>
      </c>
      <c r="BH181" s="10">
        <v>0</v>
      </c>
      <c r="BI181" s="10">
        <f t="shared" si="16"/>
        <v>5171</v>
      </c>
      <c r="BJ181" s="1">
        <v>0</v>
      </c>
      <c r="BK181" s="1">
        <v>180</v>
      </c>
      <c r="BL181" s="1">
        <v>76</v>
      </c>
      <c r="BM181" s="1">
        <v>1116</v>
      </c>
      <c r="BN181" s="1">
        <v>0</v>
      </c>
      <c r="BO181" s="1">
        <v>29</v>
      </c>
      <c r="BP181" s="1" t="s">
        <v>453</v>
      </c>
      <c r="BQ181" s="1" t="s">
        <v>453</v>
      </c>
      <c r="BR181" s="1" t="s">
        <v>453</v>
      </c>
      <c r="BS181" s="1" t="s">
        <v>453</v>
      </c>
      <c r="BT181" s="1" t="s">
        <v>453</v>
      </c>
      <c r="BU181" s="1" t="s">
        <v>453</v>
      </c>
      <c r="BV181" s="1" t="s">
        <v>453</v>
      </c>
      <c r="BW181" s="1" t="s">
        <v>453</v>
      </c>
      <c r="BX181" s="1" t="s">
        <v>453</v>
      </c>
      <c r="BY181" s="1" t="s">
        <v>453</v>
      </c>
    </row>
    <row r="182" spans="1:77">
      <c r="A182" s="1">
        <v>20</v>
      </c>
      <c r="B182" s="1" t="s">
        <v>81</v>
      </c>
      <c r="C182" s="7" t="s">
        <v>703</v>
      </c>
      <c r="D182" s="1" t="s">
        <v>451</v>
      </c>
      <c r="E182" s="1" t="s">
        <v>491</v>
      </c>
      <c r="F182" s="7" t="s">
        <v>205</v>
      </c>
      <c r="G182" s="7" t="s">
        <v>492</v>
      </c>
      <c r="H182" s="10">
        <v>4371857</v>
      </c>
      <c r="I182" s="10">
        <v>4405381</v>
      </c>
      <c r="J182" s="10">
        <v>114851</v>
      </c>
      <c r="K182" s="48">
        <v>283362</v>
      </c>
      <c r="L182" s="48">
        <v>199008</v>
      </c>
      <c r="M182" s="48">
        <v>2018259</v>
      </c>
      <c r="N182" s="48">
        <v>0</v>
      </c>
      <c r="O182" s="48">
        <v>19611</v>
      </c>
      <c r="P182" s="48">
        <v>417138</v>
      </c>
      <c r="Q182" s="48">
        <v>0</v>
      </c>
      <c r="R182" s="10">
        <v>741091</v>
      </c>
      <c r="S182" s="10">
        <v>218434</v>
      </c>
      <c r="T182" s="10">
        <v>0</v>
      </c>
      <c r="U182" s="10">
        <v>0</v>
      </c>
      <c r="V182" s="10">
        <v>4288614</v>
      </c>
      <c r="W182" s="12">
        <v>0.10440000000000001</v>
      </c>
      <c r="X182" s="10">
        <v>0</v>
      </c>
      <c r="Y182" s="22">
        <f>376228/4252802</f>
        <v>8.8465910239884205E-2</v>
      </c>
      <c r="Z182" s="10">
        <v>376063</v>
      </c>
      <c r="AA182" s="10">
        <v>0</v>
      </c>
      <c r="AB182" s="10">
        <f>5480+451+577</f>
        <v>6508</v>
      </c>
      <c r="AC182" s="10">
        <v>79819</v>
      </c>
      <c r="AD182" s="10">
        <v>6312</v>
      </c>
      <c r="AE182" s="10">
        <v>10403</v>
      </c>
      <c r="AF182" s="10">
        <v>18311</v>
      </c>
      <c r="AG182" s="10">
        <v>6000</v>
      </c>
      <c r="AH182" s="10">
        <v>6258</v>
      </c>
      <c r="AI182" s="10">
        <v>11771</v>
      </c>
      <c r="AJ182" s="10">
        <v>0</v>
      </c>
      <c r="AK182" s="10">
        <f>5345+17508+9597</f>
        <v>32450</v>
      </c>
      <c r="AL182" s="10">
        <v>6836</v>
      </c>
      <c r="AM182" s="10">
        <v>4034</v>
      </c>
      <c r="AN182" s="10">
        <v>15233</v>
      </c>
      <c r="AO182" s="10">
        <v>0</v>
      </c>
      <c r="AP182" s="10">
        <v>238445</v>
      </c>
      <c r="AQ182" s="10">
        <v>250140</v>
      </c>
      <c r="AR182" s="12">
        <f t="shared" si="15"/>
        <v>0</v>
      </c>
      <c r="AS182" s="10">
        <v>0</v>
      </c>
      <c r="AT182" s="10">
        <v>0</v>
      </c>
      <c r="AU182" s="10">
        <v>139662</v>
      </c>
      <c r="AV182" s="10">
        <v>0</v>
      </c>
      <c r="AW182" s="10">
        <v>25298</v>
      </c>
      <c r="AX182" s="10">
        <v>0</v>
      </c>
      <c r="AY182" s="10">
        <v>0</v>
      </c>
      <c r="AZ182" s="10">
        <v>0</v>
      </c>
      <c r="BA182" s="10">
        <v>593</v>
      </c>
      <c r="BB182" s="10">
        <v>242</v>
      </c>
      <c r="BC182" s="10">
        <v>0</v>
      </c>
      <c r="BD182" s="10">
        <f>38-2</f>
        <v>36</v>
      </c>
      <c r="BE182" s="10">
        <v>-63</v>
      </c>
      <c r="BF182" s="10">
        <v>-115</v>
      </c>
      <c r="BG182" s="10">
        <v>-90</v>
      </c>
      <c r="BH182" s="10">
        <v>-2</v>
      </c>
      <c r="BI182" s="10">
        <f t="shared" si="16"/>
        <v>601</v>
      </c>
      <c r="BJ182" s="1">
        <v>0</v>
      </c>
      <c r="BK182" s="1">
        <v>28</v>
      </c>
      <c r="BL182" s="1">
        <v>10</v>
      </c>
      <c r="BM182" s="1">
        <v>51</v>
      </c>
      <c r="BN182" s="1">
        <v>1</v>
      </c>
      <c r="BO182" s="1">
        <v>0</v>
      </c>
      <c r="BP182" s="1" t="s">
        <v>453</v>
      </c>
      <c r="BQ182" s="1" t="s">
        <v>453</v>
      </c>
      <c r="BR182" s="1" t="s">
        <v>453</v>
      </c>
      <c r="BS182" s="1" t="s">
        <v>453</v>
      </c>
      <c r="BT182" s="1" t="s">
        <v>453</v>
      </c>
      <c r="BU182" s="1" t="s">
        <v>453</v>
      </c>
      <c r="BV182" s="1" t="s">
        <v>453</v>
      </c>
      <c r="BW182" s="1" t="s">
        <v>453</v>
      </c>
      <c r="BX182" s="1" t="s">
        <v>453</v>
      </c>
      <c r="BY182" s="1" t="s">
        <v>453</v>
      </c>
    </row>
    <row r="183" spans="1:77">
      <c r="A183" s="1">
        <v>20</v>
      </c>
      <c r="B183" s="1" t="s">
        <v>207</v>
      </c>
      <c r="C183" s="7" t="s">
        <v>385</v>
      </c>
      <c r="D183" s="1" t="s">
        <v>666</v>
      </c>
      <c r="E183" s="1" t="s">
        <v>491</v>
      </c>
      <c r="F183" s="7" t="s">
        <v>478</v>
      </c>
      <c r="G183" s="7" t="s">
        <v>492</v>
      </c>
      <c r="H183" s="10">
        <v>11820921</v>
      </c>
      <c r="I183" s="10">
        <v>11879582</v>
      </c>
      <c r="J183" s="10">
        <v>430449</v>
      </c>
      <c r="K183" s="48">
        <v>98214</v>
      </c>
      <c r="L183" s="48">
        <v>158694</v>
      </c>
      <c r="M183" s="48">
        <v>5966360</v>
      </c>
      <c r="N183" s="48">
        <v>0</v>
      </c>
      <c r="O183" s="48">
        <v>0</v>
      </c>
      <c r="P183" s="48">
        <v>1125577</v>
      </c>
      <c r="Q183" s="48">
        <v>0</v>
      </c>
      <c r="R183" s="10">
        <v>3420176</v>
      </c>
      <c r="S183" s="10">
        <v>552811</v>
      </c>
      <c r="T183" s="10">
        <v>1100</v>
      </c>
      <c r="U183" s="10">
        <v>0</v>
      </c>
      <c r="V183" s="10">
        <v>11852362</v>
      </c>
      <c r="W183" s="12">
        <v>7.0000000000000007E-2</v>
      </c>
      <c r="X183" s="10">
        <v>0</v>
      </c>
      <c r="Y183" s="22">
        <f>527727/11825657</f>
        <v>4.4625596700462393E-2</v>
      </c>
      <c r="Z183" s="10">
        <v>527529</v>
      </c>
      <c r="AA183" s="10">
        <v>0</v>
      </c>
      <c r="AB183" s="10">
        <f>56534+766</f>
        <v>57300</v>
      </c>
      <c r="AC183" s="10">
        <v>230277</v>
      </c>
      <c r="AD183" s="10">
        <v>18492</v>
      </c>
      <c r="AE183" s="10">
        <v>37355</v>
      </c>
      <c r="AF183" s="10">
        <v>46030</v>
      </c>
      <c r="AG183" s="10">
        <v>9600</v>
      </c>
      <c r="AH183" s="10">
        <v>13195</v>
      </c>
      <c r="AI183" s="10">
        <v>370</v>
      </c>
      <c r="AJ183" s="10">
        <v>0</v>
      </c>
      <c r="AK183" s="10">
        <f>6926+14721+24511</f>
        <v>46158</v>
      </c>
      <c r="AL183" s="10">
        <v>5651</v>
      </c>
      <c r="AM183" s="10">
        <v>1072</v>
      </c>
      <c r="AN183" s="10">
        <v>5231</v>
      </c>
      <c r="AO183" s="10">
        <v>43257</v>
      </c>
      <c r="AP183" s="10">
        <v>454178</v>
      </c>
      <c r="AQ183" s="10">
        <v>474265</v>
      </c>
      <c r="AR183" s="12">
        <f t="shared" si="15"/>
        <v>9.524239395127021E-2</v>
      </c>
      <c r="AS183" s="10">
        <v>2127</v>
      </c>
      <c r="AT183" s="10">
        <v>0</v>
      </c>
      <c r="AU183" s="10">
        <v>139662</v>
      </c>
      <c r="AV183" s="10">
        <v>0</v>
      </c>
      <c r="AW183" s="10">
        <v>55504</v>
      </c>
      <c r="AX183" s="10">
        <v>0</v>
      </c>
      <c r="AY183" s="10">
        <v>0</v>
      </c>
      <c r="AZ183" s="10">
        <v>0</v>
      </c>
      <c r="BA183" s="10">
        <v>1937</v>
      </c>
      <c r="BB183" s="10">
        <v>574</v>
      </c>
      <c r="BC183" s="10">
        <v>0</v>
      </c>
      <c r="BD183" s="10">
        <f>16-1</f>
        <v>15</v>
      </c>
      <c r="BE183" s="10">
        <v>-176</v>
      </c>
      <c r="BF183" s="10">
        <v>-303</v>
      </c>
      <c r="BG183" s="10">
        <v>-425</v>
      </c>
      <c r="BH183" s="10">
        <v>0</v>
      </c>
      <c r="BI183" s="10">
        <f t="shared" si="16"/>
        <v>1622</v>
      </c>
      <c r="BJ183" s="1">
        <v>1</v>
      </c>
      <c r="BK183" s="1">
        <v>161</v>
      </c>
      <c r="BL183" s="1">
        <v>64</v>
      </c>
      <c r="BM183" s="1">
        <v>194</v>
      </c>
      <c r="BN183" s="1">
        <v>0</v>
      </c>
      <c r="BO183" s="1">
        <v>6</v>
      </c>
      <c r="BP183" s="1" t="s">
        <v>453</v>
      </c>
      <c r="BQ183" s="1" t="s">
        <v>453</v>
      </c>
      <c r="BR183" s="1" t="s">
        <v>453</v>
      </c>
      <c r="BS183" s="1" t="s">
        <v>453</v>
      </c>
      <c r="BT183" s="1" t="s">
        <v>453</v>
      </c>
      <c r="BU183" s="1" t="s">
        <v>453</v>
      </c>
      <c r="BV183" s="1" t="s">
        <v>453</v>
      </c>
      <c r="BW183" s="1" t="s">
        <v>453</v>
      </c>
      <c r="BX183" s="1" t="s">
        <v>453</v>
      </c>
      <c r="BY183" s="1" t="s">
        <v>453</v>
      </c>
    </row>
    <row r="184" spans="1:77">
      <c r="A184" s="1">
        <v>20</v>
      </c>
      <c r="B184" s="1" t="s">
        <v>270</v>
      </c>
      <c r="C184" s="7" t="s">
        <v>703</v>
      </c>
      <c r="D184" s="1" t="s">
        <v>228</v>
      </c>
      <c r="E184" s="1" t="s">
        <v>360</v>
      </c>
      <c r="F184" s="7"/>
      <c r="G184" s="7" t="s">
        <v>343</v>
      </c>
      <c r="H184" s="10">
        <v>8777348</v>
      </c>
      <c r="I184" s="10">
        <v>8810785</v>
      </c>
      <c r="J184" s="10">
        <v>271708</v>
      </c>
      <c r="K184" s="48">
        <v>13150</v>
      </c>
      <c r="L184" s="48">
        <v>0</v>
      </c>
      <c r="M184" s="48">
        <v>4889631</v>
      </c>
      <c r="N184" s="48">
        <v>0</v>
      </c>
      <c r="O184" s="48">
        <v>0</v>
      </c>
      <c r="P184" s="48">
        <v>1033790</v>
      </c>
      <c r="Q184" s="48">
        <v>0</v>
      </c>
      <c r="R184" s="10">
        <v>1217321</v>
      </c>
      <c r="S184" s="10">
        <v>509203</v>
      </c>
      <c r="T184" s="10">
        <v>2569</v>
      </c>
      <c r="U184" s="10">
        <v>0</v>
      </c>
      <c r="V184" s="10">
        <v>8366234</v>
      </c>
      <c r="W184" s="12">
        <v>8.4500000000000006E-2</v>
      </c>
      <c r="X184" s="10">
        <v>0</v>
      </c>
      <c r="Y184" s="22">
        <f>668176/8352194</f>
        <v>8.0000057469929456E-2</v>
      </c>
      <c r="Z184" s="10">
        <v>668910</v>
      </c>
      <c r="AA184" s="10">
        <v>0</v>
      </c>
      <c r="AB184" s="10">
        <f>30654+2587+1824</f>
        <v>35065</v>
      </c>
      <c r="AC184" s="10">
        <v>276721</v>
      </c>
      <c r="AD184" s="10">
        <v>22664</v>
      </c>
      <c r="AE184" s="10">
        <v>42973</v>
      </c>
      <c r="AF184" s="10">
        <v>54701</v>
      </c>
      <c r="AG184" s="10">
        <v>14827</v>
      </c>
      <c r="AH184" s="10">
        <v>21923</v>
      </c>
      <c r="AI184" s="10">
        <v>12260</v>
      </c>
      <c r="AJ184" s="10">
        <v>0</v>
      </c>
      <c r="AK184" s="10">
        <f>15312+17959+15065</f>
        <v>48336</v>
      </c>
      <c r="AL184" s="10">
        <v>12571</v>
      </c>
      <c r="AM184" s="10">
        <v>1005</v>
      </c>
      <c r="AN184" s="10">
        <v>36655</v>
      </c>
      <c r="AO184" s="10">
        <v>0</v>
      </c>
      <c r="AP184" s="10">
        <v>575770</v>
      </c>
      <c r="AQ184" s="10">
        <v>592225</v>
      </c>
      <c r="AR184" s="12">
        <f t="shared" si="15"/>
        <v>0</v>
      </c>
      <c r="AS184" s="10">
        <v>0</v>
      </c>
      <c r="AT184" s="10">
        <v>0</v>
      </c>
      <c r="AU184" s="10">
        <v>139662</v>
      </c>
      <c r="AV184" s="10">
        <v>0</v>
      </c>
      <c r="AW184" s="10">
        <v>70101</v>
      </c>
      <c r="AX184" s="10">
        <v>0</v>
      </c>
      <c r="AY184" s="10">
        <v>0</v>
      </c>
      <c r="AZ184" s="10">
        <v>0</v>
      </c>
      <c r="BA184" s="10">
        <v>1898</v>
      </c>
      <c r="BB184" s="10">
        <v>662</v>
      </c>
      <c r="BC184" s="10">
        <v>0</v>
      </c>
      <c r="BD184" s="10">
        <v>-2</v>
      </c>
      <c r="BE184" s="10">
        <v>-64</v>
      </c>
      <c r="BF184" s="10">
        <v>-292</v>
      </c>
      <c r="BG184" s="10">
        <v>-337</v>
      </c>
      <c r="BH184" s="10">
        <v>-3</v>
      </c>
      <c r="BI184" s="10">
        <f t="shared" si="16"/>
        <v>1862</v>
      </c>
      <c r="BJ184" s="1">
        <v>1</v>
      </c>
      <c r="BK184" s="1">
        <v>38</v>
      </c>
      <c r="BL184" s="1">
        <v>19</v>
      </c>
      <c r="BM184" s="1">
        <v>157</v>
      </c>
      <c r="BN184" s="1">
        <v>120</v>
      </c>
      <c r="BO184" s="1">
        <v>3</v>
      </c>
      <c r="BP184" s="1">
        <v>0</v>
      </c>
      <c r="BQ184" s="1">
        <v>0</v>
      </c>
      <c r="BR184" s="1">
        <v>16</v>
      </c>
      <c r="BS184" s="1">
        <v>30</v>
      </c>
      <c r="BT184" s="1">
        <v>1</v>
      </c>
      <c r="BU184" s="1">
        <v>2</v>
      </c>
      <c r="BV184" s="1">
        <v>1</v>
      </c>
      <c r="BW184" s="1">
        <v>29</v>
      </c>
      <c r="BX184" s="1">
        <v>152</v>
      </c>
      <c r="BY184" s="1">
        <v>9</v>
      </c>
    </row>
    <row r="185" spans="1:77">
      <c r="A185" s="1">
        <v>20</v>
      </c>
      <c r="B185" s="1" t="s">
        <v>277</v>
      </c>
      <c r="C185" s="7" t="s">
        <v>325</v>
      </c>
      <c r="D185" s="1" t="s">
        <v>656</v>
      </c>
      <c r="E185" s="1" t="s">
        <v>360</v>
      </c>
      <c r="F185" s="7"/>
      <c r="G185" s="7" t="s">
        <v>343</v>
      </c>
      <c r="H185" s="10">
        <v>11722341</v>
      </c>
      <c r="I185" s="10">
        <v>11775824</v>
      </c>
      <c r="J185" s="10">
        <v>170697</v>
      </c>
      <c r="K185" s="48">
        <v>0</v>
      </c>
      <c r="L185" s="48">
        <v>0</v>
      </c>
      <c r="M185" s="48">
        <v>6296745</v>
      </c>
      <c r="N185" s="48">
        <v>0</v>
      </c>
      <c r="O185" s="48">
        <v>0</v>
      </c>
      <c r="P185" s="48">
        <v>0</v>
      </c>
      <c r="Q185" s="48">
        <v>1231064</v>
      </c>
      <c r="R185" s="10">
        <v>1929771</v>
      </c>
      <c r="S185" s="10">
        <v>1053004</v>
      </c>
      <c r="T185" s="10">
        <v>3235</v>
      </c>
      <c r="U185" s="10">
        <v>0</v>
      </c>
      <c r="V185" s="10">
        <v>11516648</v>
      </c>
      <c r="W185" s="12">
        <v>6.0199999999999997E-2</v>
      </c>
      <c r="X185" s="10">
        <v>0</v>
      </c>
      <c r="Y185" s="22">
        <f>900106/11407667</f>
        <v>7.8903600534622892E-2</v>
      </c>
      <c r="Z185" s="10">
        <v>900139</v>
      </c>
      <c r="AA185" s="10">
        <v>0</v>
      </c>
      <c r="AB185" s="10">
        <f>20950+1402+3033</f>
        <v>25385</v>
      </c>
      <c r="AC185" s="10">
        <v>390705</v>
      </c>
      <c r="AD185" s="10">
        <v>31782</v>
      </c>
      <c r="AE185" s="10">
        <v>120822</v>
      </c>
      <c r="AF185" s="10">
        <f>44900+7426</f>
        <v>52326</v>
      </c>
      <c r="AG185" s="10">
        <v>2135</v>
      </c>
      <c r="AH185" s="10">
        <v>39411</v>
      </c>
      <c r="AI185" s="10">
        <v>0</v>
      </c>
      <c r="AJ185" s="10">
        <v>0</v>
      </c>
      <c r="AK185" s="10">
        <f>17852+19990+16765</f>
        <v>54607</v>
      </c>
      <c r="AL185" s="10">
        <v>14487</v>
      </c>
      <c r="AM185" s="10">
        <v>1603</v>
      </c>
      <c r="AN185" s="10">
        <v>10248</v>
      </c>
      <c r="AO185" s="10">
        <v>0</v>
      </c>
      <c r="AP185" s="10">
        <v>784050</v>
      </c>
      <c r="AQ185" s="10">
        <v>792880</v>
      </c>
      <c r="AR185" s="12">
        <f t="shared" si="15"/>
        <v>0</v>
      </c>
      <c r="AS185" s="10">
        <v>0</v>
      </c>
      <c r="AT185" s="10">
        <v>0</v>
      </c>
      <c r="AU185" s="10">
        <v>139662</v>
      </c>
      <c r="AV185" s="10">
        <v>0</v>
      </c>
      <c r="AW185" s="10">
        <v>122125</v>
      </c>
      <c r="AX185" s="10">
        <v>0</v>
      </c>
      <c r="AY185" s="10">
        <v>0</v>
      </c>
      <c r="AZ185" s="10">
        <v>0</v>
      </c>
      <c r="BA185" s="10">
        <v>3400</v>
      </c>
      <c r="BB185" s="10">
        <v>1085</v>
      </c>
      <c r="BC185" s="10">
        <v>0</v>
      </c>
      <c r="BD185" s="10">
        <f>82-10</f>
        <v>72</v>
      </c>
      <c r="BE185" s="10">
        <v>-205</v>
      </c>
      <c r="BF185" s="10">
        <v>-496</v>
      </c>
      <c r="BG185" s="10">
        <v>-586</v>
      </c>
      <c r="BH185" s="10">
        <v>-10</v>
      </c>
      <c r="BI185" s="10">
        <f t="shared" si="16"/>
        <v>3260</v>
      </c>
      <c r="BJ185" s="1">
        <v>5</v>
      </c>
      <c r="BK185" s="1">
        <v>0</v>
      </c>
      <c r="BL185" s="1">
        <v>0</v>
      </c>
      <c r="BM185" s="1">
        <v>260</v>
      </c>
      <c r="BN185" s="1">
        <v>294</v>
      </c>
      <c r="BO185" s="1">
        <v>32</v>
      </c>
      <c r="BP185" s="1">
        <v>0</v>
      </c>
      <c r="BQ185" s="1">
        <v>0</v>
      </c>
      <c r="BR185" s="1">
        <v>30</v>
      </c>
      <c r="BS185" s="1">
        <v>122</v>
      </c>
      <c r="BT185" s="1">
        <v>0</v>
      </c>
      <c r="BU185" s="1">
        <v>0</v>
      </c>
      <c r="BV185" s="1">
        <v>0</v>
      </c>
      <c r="BW185" s="1">
        <v>29</v>
      </c>
      <c r="BX185" s="1">
        <v>332</v>
      </c>
      <c r="BY185" s="1">
        <v>0</v>
      </c>
    </row>
    <row r="186" spans="1:77">
      <c r="A186" s="31">
        <v>20</v>
      </c>
      <c r="B186" s="7" t="s">
        <v>279</v>
      </c>
      <c r="C186" s="7" t="s">
        <v>333</v>
      </c>
      <c r="D186" s="7" t="s">
        <v>493</v>
      </c>
      <c r="E186" s="7" t="s">
        <v>491</v>
      </c>
      <c r="F186" s="7" t="s">
        <v>695</v>
      </c>
      <c r="G186" s="7" t="s">
        <v>492</v>
      </c>
      <c r="H186" s="10">
        <v>13992492</v>
      </c>
      <c r="I186" s="10">
        <v>14047124</v>
      </c>
      <c r="J186" s="10">
        <v>365491</v>
      </c>
      <c r="K186" s="48">
        <v>3347337</v>
      </c>
      <c r="L186" s="48">
        <v>796221</v>
      </c>
      <c r="M186" s="48">
        <v>5012438</v>
      </c>
      <c r="N186" s="48">
        <v>0</v>
      </c>
      <c r="O186" s="48">
        <v>7332</v>
      </c>
      <c r="P186" s="48">
        <v>964696</v>
      </c>
      <c r="Q186" s="48">
        <v>0</v>
      </c>
      <c r="R186" s="10">
        <v>2231101</v>
      </c>
      <c r="S186" s="10">
        <v>682766</v>
      </c>
      <c r="T186" s="10">
        <v>0</v>
      </c>
      <c r="U186" s="10">
        <v>0</v>
      </c>
      <c r="V186" s="10">
        <v>13499435</v>
      </c>
      <c r="W186" s="12">
        <v>0.1</v>
      </c>
      <c r="X186" s="10">
        <v>0</v>
      </c>
      <c r="Y186" s="22">
        <f>421998/13415361</f>
        <v>3.1456328309018296E-2</v>
      </c>
      <c r="Z186" s="10">
        <v>421921</v>
      </c>
      <c r="AA186" s="10">
        <v>0</v>
      </c>
      <c r="AB186" s="10">
        <f>54632+849</f>
        <v>55481</v>
      </c>
      <c r="AC186" s="10">
        <v>500419</v>
      </c>
      <c r="AD186" s="10">
        <v>42779</v>
      </c>
      <c r="AE186" s="10">
        <v>87248</v>
      </c>
      <c r="AF186" s="10">
        <v>39878</v>
      </c>
      <c r="AG186" s="10">
        <v>37978</v>
      </c>
      <c r="AH186" s="10">
        <v>31720</v>
      </c>
      <c r="AI186" s="10">
        <v>24409</v>
      </c>
      <c r="AJ186" s="10">
        <v>0</v>
      </c>
      <c r="AK186" s="10">
        <f>12916+36038+38303</f>
        <v>87257</v>
      </c>
      <c r="AL186" s="10">
        <v>9984</v>
      </c>
      <c r="AM186" s="10">
        <v>683</v>
      </c>
      <c r="AN186" s="10">
        <v>24655</v>
      </c>
      <c r="AO186" s="10">
        <v>0</v>
      </c>
      <c r="AP186" s="10">
        <v>951012</v>
      </c>
      <c r="AQ186" s="10">
        <v>1051032</v>
      </c>
      <c r="AR186" s="12">
        <f t="shared" si="15"/>
        <v>0</v>
      </c>
      <c r="AS186" s="10">
        <v>0</v>
      </c>
      <c r="AT186" s="10">
        <v>0</v>
      </c>
      <c r="AU186" s="10">
        <v>58884</v>
      </c>
      <c r="AV186" s="10">
        <v>0</v>
      </c>
      <c r="AW186" s="10">
        <v>126076</v>
      </c>
      <c r="AX186" s="10">
        <v>0</v>
      </c>
      <c r="AY186" s="10">
        <v>0</v>
      </c>
      <c r="AZ186" s="10">
        <v>0</v>
      </c>
      <c r="BA186" s="10">
        <v>4518</v>
      </c>
      <c r="BB186" s="10">
        <v>818</v>
      </c>
      <c r="BC186" s="10">
        <v>17</v>
      </c>
      <c r="BD186" s="10">
        <v>-38</v>
      </c>
      <c r="BE186" s="10">
        <v>-135</v>
      </c>
      <c r="BF186" s="10">
        <v>-338</v>
      </c>
      <c r="BG186" s="10">
        <v>-360</v>
      </c>
      <c r="BH186" s="10">
        <v>0</v>
      </c>
      <c r="BI186" s="10">
        <f t="shared" si="16"/>
        <v>4482</v>
      </c>
      <c r="BJ186" s="1">
        <v>2</v>
      </c>
      <c r="BK186" s="1">
        <v>94</v>
      </c>
      <c r="BL186" s="1">
        <v>45</v>
      </c>
      <c r="BM186" s="1">
        <v>205</v>
      </c>
      <c r="BN186" s="1">
        <v>11</v>
      </c>
      <c r="BO186" s="1">
        <v>5</v>
      </c>
      <c r="BP186" s="1">
        <v>0</v>
      </c>
      <c r="BQ186" s="1">
        <v>1</v>
      </c>
      <c r="BR186" s="1">
        <v>21</v>
      </c>
      <c r="BS186" s="1">
        <v>71</v>
      </c>
      <c r="BT186" s="1">
        <v>0</v>
      </c>
      <c r="BU186" s="1">
        <v>1</v>
      </c>
      <c r="BV186" s="1">
        <v>4</v>
      </c>
      <c r="BW186" s="1">
        <v>39</v>
      </c>
      <c r="BX186" s="1">
        <v>119</v>
      </c>
      <c r="BY186" s="1">
        <v>4</v>
      </c>
    </row>
    <row r="187" spans="1:77">
      <c r="A187" s="1">
        <v>20</v>
      </c>
      <c r="B187" s="1" t="s">
        <v>303</v>
      </c>
      <c r="C187" s="7" t="s">
        <v>41</v>
      </c>
      <c r="D187" s="1" t="s">
        <v>493</v>
      </c>
      <c r="E187" s="1" t="s">
        <v>491</v>
      </c>
      <c r="F187" s="7" t="s">
        <v>696</v>
      </c>
      <c r="G187" s="7" t="s">
        <v>492</v>
      </c>
      <c r="H187" s="10">
        <v>19490694</v>
      </c>
      <c r="I187" s="10">
        <v>19556355</v>
      </c>
      <c r="J187" s="10">
        <v>700338</v>
      </c>
      <c r="K187" s="48">
        <v>4644266</v>
      </c>
      <c r="L187" s="48">
        <v>1020869</v>
      </c>
      <c r="M187" s="48">
        <v>0</v>
      </c>
      <c r="N187" s="48">
        <v>7194557</v>
      </c>
      <c r="O187" s="48">
        <v>13376</v>
      </c>
      <c r="P187" s="48">
        <v>0</v>
      </c>
      <c r="Q187" s="48">
        <v>1352129</v>
      </c>
      <c r="R187" s="10">
        <v>3136656</v>
      </c>
      <c r="S187" s="10">
        <v>1069487</v>
      </c>
      <c r="T187" s="10">
        <v>0</v>
      </c>
      <c r="U187" s="10">
        <v>0</v>
      </c>
      <c r="V187" s="10">
        <v>18985905</v>
      </c>
      <c r="W187" s="12">
        <v>0.17519999999999999</v>
      </c>
      <c r="X187" s="10">
        <v>0</v>
      </c>
      <c r="Y187" s="22">
        <f>548718/18921310</f>
        <v>2.9000000528504634E-2</v>
      </c>
      <c r="Z187" s="10">
        <v>548718</v>
      </c>
      <c r="AA187" s="10">
        <v>0</v>
      </c>
      <c r="AB187" s="10">
        <f>65661+1164</f>
        <v>66825</v>
      </c>
      <c r="AC187" s="10">
        <v>286533</v>
      </c>
      <c r="AD187" s="10">
        <v>24147</v>
      </c>
      <c r="AE187" s="10">
        <v>57746</v>
      </c>
      <c r="AF187" s="10">
        <v>23262</v>
      </c>
      <c r="AG187" s="10">
        <v>25583</v>
      </c>
      <c r="AH187" s="10">
        <v>16545</v>
      </c>
      <c r="AI187" s="10">
        <v>17410</v>
      </c>
      <c r="AJ187" s="10">
        <v>0</v>
      </c>
      <c r="AK187" s="10">
        <f>6553+10438+16217</f>
        <v>33208</v>
      </c>
      <c r="AL187" s="10">
        <v>3139</v>
      </c>
      <c r="AM187" s="10">
        <v>321</v>
      </c>
      <c r="AN187" s="10">
        <v>9923</v>
      </c>
      <c r="AO187" s="10">
        <v>0</v>
      </c>
      <c r="AP187" s="10">
        <v>529338</v>
      </c>
      <c r="AQ187" s="10">
        <v>601673</v>
      </c>
      <c r="AR187" s="12">
        <f t="shared" si="15"/>
        <v>0</v>
      </c>
      <c r="AS187" s="10">
        <v>0</v>
      </c>
      <c r="AT187" s="10">
        <v>0</v>
      </c>
      <c r="AU187" s="10">
        <v>80778</v>
      </c>
      <c r="AV187" s="10">
        <v>0</v>
      </c>
      <c r="AW187" s="10">
        <v>123985</v>
      </c>
      <c r="AX187" s="10">
        <v>0</v>
      </c>
      <c r="AY187" s="10">
        <v>0</v>
      </c>
      <c r="AZ187" s="10">
        <v>0</v>
      </c>
      <c r="BA187" s="10">
        <v>4745</v>
      </c>
      <c r="BB187" s="10">
        <v>1030</v>
      </c>
      <c r="BC187" s="10">
        <v>13</v>
      </c>
      <c r="BD187" s="10">
        <f>-3+2</f>
        <v>-1</v>
      </c>
      <c r="BE187" s="10">
        <v>-208</v>
      </c>
      <c r="BF187" s="10">
        <v>-577</v>
      </c>
      <c r="BG187" s="10">
        <v>-490</v>
      </c>
      <c r="BH187" s="10">
        <v>0</v>
      </c>
      <c r="BI187" s="10">
        <f t="shared" si="16"/>
        <v>4512</v>
      </c>
      <c r="BJ187" s="1">
        <v>4</v>
      </c>
      <c r="BK187" s="1">
        <v>123</v>
      </c>
      <c r="BL187" s="1">
        <v>67</v>
      </c>
      <c r="BM187" s="1">
        <v>276</v>
      </c>
      <c r="BN187" s="1">
        <v>14</v>
      </c>
      <c r="BO187" s="1">
        <v>10</v>
      </c>
      <c r="BP187" s="1" t="s">
        <v>453</v>
      </c>
      <c r="BQ187" s="1" t="s">
        <v>453</v>
      </c>
      <c r="BR187" s="1" t="s">
        <v>453</v>
      </c>
      <c r="BS187" s="1" t="s">
        <v>453</v>
      </c>
      <c r="BT187" s="1" t="s">
        <v>453</v>
      </c>
      <c r="BU187" s="1" t="s">
        <v>453</v>
      </c>
      <c r="BV187" s="1" t="s">
        <v>453</v>
      </c>
      <c r="BW187" s="1" t="s">
        <v>453</v>
      </c>
      <c r="BX187" s="1" t="s">
        <v>453</v>
      </c>
      <c r="BY187" s="1" t="s">
        <v>453</v>
      </c>
    </row>
    <row r="188" spans="1:77">
      <c r="A188" s="1">
        <v>20</v>
      </c>
      <c r="B188" s="1" t="s">
        <v>608</v>
      </c>
      <c r="C188" s="7" t="s">
        <v>350</v>
      </c>
      <c r="D188" s="1" t="s">
        <v>30</v>
      </c>
      <c r="E188" s="1" t="s">
        <v>473</v>
      </c>
      <c r="F188" s="7"/>
      <c r="G188" s="7" t="s">
        <v>468</v>
      </c>
      <c r="H188" s="10">
        <v>11890720</v>
      </c>
      <c r="I188" s="10">
        <v>11984777</v>
      </c>
      <c r="J188" s="10">
        <v>756116</v>
      </c>
      <c r="K188" s="48">
        <v>0</v>
      </c>
      <c r="L188" s="48">
        <v>0</v>
      </c>
      <c r="M188" s="48">
        <v>0</v>
      </c>
      <c r="N188" s="48">
        <v>5095973</v>
      </c>
      <c r="O188" s="48">
        <v>0</v>
      </c>
      <c r="P188" s="48">
        <v>0</v>
      </c>
      <c r="Q188" s="48">
        <v>1631842</v>
      </c>
      <c r="R188" s="10">
        <v>2185204</v>
      </c>
      <c r="S188" s="10">
        <v>1040277</v>
      </c>
      <c r="T188" s="10">
        <v>0</v>
      </c>
      <c r="U188" s="10">
        <v>0</v>
      </c>
      <c r="V188" s="10">
        <v>11081553</v>
      </c>
      <c r="W188" s="12">
        <v>0.2</v>
      </c>
      <c r="X188" s="10">
        <v>0</v>
      </c>
      <c r="Y188" s="22">
        <f>1105034/11050339</f>
        <v>0.10000000904949613</v>
      </c>
      <c r="Z188" s="10">
        <v>1114817</v>
      </c>
      <c r="AA188" s="10">
        <v>0</v>
      </c>
      <c r="AB188" s="10">
        <f>90447+2499</f>
        <v>92946</v>
      </c>
      <c r="AC188" s="10">
        <v>500432</v>
      </c>
      <c r="AD188" s="10">
        <v>45014</v>
      </c>
      <c r="AE188" s="10">
        <v>84298</v>
      </c>
      <c r="AF188" s="10">
        <f>46926+9531</f>
        <v>56457</v>
      </c>
      <c r="AG188" s="10">
        <v>7664</v>
      </c>
      <c r="AH188" s="10">
        <v>34661</v>
      </c>
      <c r="AI188" s="10">
        <v>29774</v>
      </c>
      <c r="AJ188" s="10">
        <v>0</v>
      </c>
      <c r="AK188" s="10">
        <f>19357+23402+25423</f>
        <v>68182</v>
      </c>
      <c r="AL188" s="10">
        <v>15782</v>
      </c>
      <c r="AM188" s="10">
        <v>33478</v>
      </c>
      <c r="AN188" s="10">
        <v>23679</v>
      </c>
      <c r="AO188" s="10">
        <v>0</v>
      </c>
      <c r="AP188" s="10">
        <v>1036922</v>
      </c>
      <c r="AQ188" s="10">
        <v>1146779</v>
      </c>
      <c r="AR188" s="12">
        <f t="shared" si="15"/>
        <v>0</v>
      </c>
      <c r="AS188" s="10">
        <v>327</v>
      </c>
      <c r="AT188" s="10">
        <v>0</v>
      </c>
      <c r="AU188" s="10">
        <v>139662</v>
      </c>
      <c r="AV188" s="10">
        <v>0</v>
      </c>
      <c r="AW188" s="10">
        <v>160621</v>
      </c>
      <c r="AX188" s="10">
        <v>0</v>
      </c>
      <c r="AY188" s="10">
        <v>0</v>
      </c>
      <c r="AZ188" s="10">
        <v>0</v>
      </c>
      <c r="BA188" s="10">
        <v>5284</v>
      </c>
      <c r="BB188" s="10">
        <v>1064</v>
      </c>
      <c r="BC188" s="10">
        <v>0</v>
      </c>
      <c r="BD188" s="10">
        <v>0</v>
      </c>
      <c r="BE188" s="10">
        <v>-657</v>
      </c>
      <c r="BF188" s="10">
        <v>-1077</v>
      </c>
      <c r="BG188" s="10">
        <v>-463</v>
      </c>
      <c r="BH188" s="10">
        <v>0</v>
      </c>
      <c r="BI188" s="10">
        <f t="shared" si="16"/>
        <v>4151</v>
      </c>
      <c r="BJ188" s="1">
        <v>100</v>
      </c>
      <c r="BK188" s="1">
        <v>25</v>
      </c>
      <c r="BL188" s="1">
        <v>30</v>
      </c>
      <c r="BM188" s="1">
        <v>364</v>
      </c>
      <c r="BN188" s="1">
        <v>38</v>
      </c>
      <c r="BO188" s="1">
        <v>6</v>
      </c>
      <c r="BP188" s="1" t="s">
        <v>453</v>
      </c>
      <c r="BQ188" s="1" t="s">
        <v>453</v>
      </c>
      <c r="BR188" s="1" t="s">
        <v>453</v>
      </c>
      <c r="BS188" s="1" t="s">
        <v>453</v>
      </c>
      <c r="BT188" s="1" t="s">
        <v>453</v>
      </c>
      <c r="BU188" s="1" t="s">
        <v>453</v>
      </c>
      <c r="BV188" s="1" t="s">
        <v>453</v>
      </c>
      <c r="BW188" s="1" t="s">
        <v>453</v>
      </c>
      <c r="BX188" s="1" t="s">
        <v>453</v>
      </c>
      <c r="BY188" s="1" t="s">
        <v>453</v>
      </c>
    </row>
    <row r="189" spans="1:77">
      <c r="A189" s="1">
        <v>20</v>
      </c>
      <c r="B189" s="1" t="s">
        <v>683</v>
      </c>
      <c r="C189" s="7" t="s">
        <v>578</v>
      </c>
      <c r="D189" s="1" t="s">
        <v>701</v>
      </c>
      <c r="E189" s="1" t="s">
        <v>360</v>
      </c>
      <c r="F189" s="7"/>
      <c r="G189" s="7" t="s">
        <v>343</v>
      </c>
      <c r="H189" s="10">
        <v>1773746</v>
      </c>
      <c r="I189" s="10">
        <v>1785039</v>
      </c>
      <c r="J189" s="10">
        <v>26260</v>
      </c>
      <c r="K189" s="48">
        <v>0</v>
      </c>
      <c r="L189" s="48">
        <v>0</v>
      </c>
      <c r="M189" s="48">
        <v>0</v>
      </c>
      <c r="N189" s="48">
        <v>883890</v>
      </c>
      <c r="O189" s="48">
        <v>0</v>
      </c>
      <c r="P189" s="48">
        <v>0</v>
      </c>
      <c r="Q189" s="48">
        <v>264516</v>
      </c>
      <c r="R189" s="10">
        <v>406939</v>
      </c>
      <c r="S189" s="10">
        <v>165835</v>
      </c>
      <c r="T189" s="10">
        <v>0</v>
      </c>
      <c r="U189" s="10">
        <v>0</v>
      </c>
      <c r="V189" s="10">
        <v>1871167</v>
      </c>
      <c r="W189" s="12">
        <v>0.3075</v>
      </c>
      <c r="X189" s="10">
        <v>0</v>
      </c>
      <c r="Y189" s="22">
        <f>149588/1871167</f>
        <v>7.9943692893258589E-2</v>
      </c>
      <c r="Z189" s="10">
        <v>148089</v>
      </c>
      <c r="AA189" s="10">
        <v>0</v>
      </c>
      <c r="AB189" s="10">
        <v>11293</v>
      </c>
      <c r="AC189" s="10">
        <v>34605</v>
      </c>
      <c r="AD189" s="10">
        <v>2754</v>
      </c>
      <c r="AE189" s="10">
        <v>6472</v>
      </c>
      <c r="AF189" s="10">
        <v>5064</v>
      </c>
      <c r="AG189" s="10">
        <v>4145</v>
      </c>
      <c r="AH189" s="10">
        <v>4194</v>
      </c>
      <c r="AI189" s="10">
        <v>12088</v>
      </c>
      <c r="AJ189" s="10">
        <v>0</v>
      </c>
      <c r="AK189" s="10">
        <f>1132+1612+1787</f>
        <v>4531</v>
      </c>
      <c r="AL189" s="10">
        <v>697</v>
      </c>
      <c r="AM189" s="10">
        <v>2328</v>
      </c>
      <c r="AN189" s="10">
        <v>440</v>
      </c>
      <c r="AO189" s="10">
        <v>27228</v>
      </c>
      <c r="AP189" s="10">
        <v>84852</v>
      </c>
      <c r="AQ189" s="10">
        <v>96205</v>
      </c>
      <c r="AR189" s="12">
        <f t="shared" si="15"/>
        <v>0.32088813463442228</v>
      </c>
      <c r="AS189" s="10">
        <v>0</v>
      </c>
      <c r="AT189" s="10">
        <v>0</v>
      </c>
      <c r="AU189" s="10">
        <v>32632</v>
      </c>
      <c r="AV189" s="10">
        <v>0</v>
      </c>
      <c r="AW189" s="10">
        <v>89484</v>
      </c>
      <c r="AX189" s="10">
        <v>23192</v>
      </c>
      <c r="AY189" s="10">
        <v>0</v>
      </c>
      <c r="AZ189" s="10">
        <v>0</v>
      </c>
      <c r="BA189" s="10">
        <v>1440</v>
      </c>
      <c r="BB189" s="10">
        <v>175</v>
      </c>
      <c r="BC189" s="10">
        <v>19</v>
      </c>
      <c r="BD189" s="10">
        <f>1-82</f>
        <v>-81</v>
      </c>
      <c r="BE189" s="10">
        <v>-45</v>
      </c>
      <c r="BF189" s="10">
        <v>-52</v>
      </c>
      <c r="BG189" s="10">
        <v>-75</v>
      </c>
      <c r="BH189" s="10">
        <v>0</v>
      </c>
      <c r="BI189" s="10">
        <f t="shared" si="16"/>
        <v>1381</v>
      </c>
      <c r="BJ189" s="1">
        <v>10</v>
      </c>
      <c r="BK189" s="1">
        <v>34</v>
      </c>
      <c r="BL189" s="1">
        <v>5</v>
      </c>
      <c r="BM189" s="1">
        <v>32</v>
      </c>
      <c r="BN189" s="1">
        <v>4</v>
      </c>
      <c r="BO189" s="1" t="s">
        <v>453</v>
      </c>
      <c r="BP189" s="1" t="s">
        <v>453</v>
      </c>
      <c r="BQ189" s="1" t="s">
        <v>453</v>
      </c>
      <c r="BR189" s="1" t="s">
        <v>453</v>
      </c>
      <c r="BS189" s="1" t="s">
        <v>453</v>
      </c>
      <c r="BT189" s="1" t="s">
        <v>453</v>
      </c>
      <c r="BU189" s="1" t="s">
        <v>453</v>
      </c>
      <c r="BV189" s="1" t="s">
        <v>453</v>
      </c>
      <c r="BW189" s="1" t="s">
        <v>453</v>
      </c>
      <c r="BX189" s="1" t="s">
        <v>453</v>
      </c>
      <c r="BY189" s="1" t="s">
        <v>453</v>
      </c>
    </row>
    <row r="190" spans="1:77">
      <c r="A190" s="31">
        <v>20</v>
      </c>
      <c r="B190" s="7" t="s">
        <v>704</v>
      </c>
      <c r="C190" s="7" t="s">
        <v>375</v>
      </c>
      <c r="D190" s="7" t="s">
        <v>701</v>
      </c>
      <c r="E190" s="7" t="s">
        <v>360</v>
      </c>
      <c r="F190" s="7"/>
      <c r="G190" s="7" t="s">
        <v>343</v>
      </c>
      <c r="H190" s="10">
        <v>4913943</v>
      </c>
      <c r="I190" s="10">
        <v>4944175</v>
      </c>
      <c r="J190" s="10">
        <v>54438</v>
      </c>
      <c r="K190" s="48">
        <v>10117</v>
      </c>
      <c r="L190" s="48">
        <v>0</v>
      </c>
      <c r="M190" s="48">
        <v>380784</v>
      </c>
      <c r="N190" s="48">
        <v>1945338</v>
      </c>
      <c r="O190" s="48">
        <v>0</v>
      </c>
      <c r="P190" s="48">
        <v>51500</v>
      </c>
      <c r="Q190" s="48">
        <v>563377</v>
      </c>
      <c r="R190" s="10">
        <v>1055594</v>
      </c>
      <c r="S190" s="10">
        <v>275021</v>
      </c>
      <c r="T190" s="10">
        <v>0</v>
      </c>
      <c r="U190" s="10">
        <v>0</v>
      </c>
      <c r="V190" s="10">
        <v>4605654</v>
      </c>
      <c r="W190" s="12">
        <v>0.16236400000000001</v>
      </c>
      <c r="X190" s="10">
        <v>0</v>
      </c>
      <c r="Y190" s="22">
        <f>322003/4600037</f>
        <v>7.0000089129717863E-2</v>
      </c>
      <c r="Z190" s="10">
        <v>321649</v>
      </c>
      <c r="AA190" s="10">
        <v>0</v>
      </c>
      <c r="AB190" s="10">
        <v>28997</v>
      </c>
      <c r="AC190" s="10">
        <v>104532</v>
      </c>
      <c r="AD190" s="10">
        <v>10439</v>
      </c>
      <c r="AE190" s="10">
        <v>18445</v>
      </c>
      <c r="AF190" s="10">
        <v>15227</v>
      </c>
      <c r="AG190" s="10">
        <v>10248</v>
      </c>
      <c r="AH190" s="10">
        <v>22338</v>
      </c>
      <c r="AI190" s="10">
        <v>7040</v>
      </c>
      <c r="AJ190" s="10">
        <v>0</v>
      </c>
      <c r="AK190" s="10">
        <f>5253+10558+9463</f>
        <v>25274</v>
      </c>
      <c r="AL190" s="10">
        <v>8006</v>
      </c>
      <c r="AM190" s="10">
        <v>10544</v>
      </c>
      <c r="AN190" s="10">
        <v>23923</v>
      </c>
      <c r="AO190" s="10">
        <v>0</v>
      </c>
      <c r="AP190" s="10">
        <v>283893</v>
      </c>
      <c r="AQ190" s="10">
        <v>391032</v>
      </c>
      <c r="AR190" s="12">
        <f t="shared" si="15"/>
        <v>0</v>
      </c>
      <c r="AS190" s="10">
        <v>0</v>
      </c>
      <c r="AT190" s="10">
        <v>0</v>
      </c>
      <c r="AU190" s="10">
        <v>105439</v>
      </c>
      <c r="AV190" s="10">
        <v>0</v>
      </c>
      <c r="AW190" s="10">
        <v>51812</v>
      </c>
      <c r="AX190" s="10">
        <v>0</v>
      </c>
      <c r="AY190" s="10">
        <v>0</v>
      </c>
      <c r="AZ190" s="10">
        <v>0</v>
      </c>
      <c r="BA190" s="10">
        <v>1381</v>
      </c>
      <c r="BB190" s="10">
        <v>360</v>
      </c>
      <c r="BC190" s="10">
        <v>10</v>
      </c>
      <c r="BD190" s="10">
        <f>1-3</f>
        <v>-2</v>
      </c>
      <c r="BE190" s="10">
        <v>-80</v>
      </c>
      <c r="BF190" s="10">
        <v>-104</v>
      </c>
      <c r="BG190" s="10">
        <v>-196</v>
      </c>
      <c r="BH190" s="10">
        <v>-1</v>
      </c>
      <c r="BI190" s="10">
        <f t="shared" si="16"/>
        <v>1368</v>
      </c>
      <c r="BJ190" s="1">
        <v>11</v>
      </c>
      <c r="BK190" s="1">
        <v>60</v>
      </c>
      <c r="BL190" s="1">
        <v>17</v>
      </c>
      <c r="BM190" s="1">
        <v>115</v>
      </c>
      <c r="BN190" s="1">
        <v>0</v>
      </c>
      <c r="BO190" s="1">
        <v>4</v>
      </c>
      <c r="BP190" s="1" t="s">
        <v>453</v>
      </c>
      <c r="BQ190" s="1" t="s">
        <v>453</v>
      </c>
      <c r="BR190" s="1" t="s">
        <v>453</v>
      </c>
      <c r="BS190" s="1" t="s">
        <v>453</v>
      </c>
      <c r="BT190" s="1" t="s">
        <v>453</v>
      </c>
      <c r="BU190" s="1" t="s">
        <v>453</v>
      </c>
      <c r="BV190" s="1" t="s">
        <v>453</v>
      </c>
      <c r="BW190" s="1" t="s">
        <v>453</v>
      </c>
      <c r="BX190" s="1" t="s">
        <v>453</v>
      </c>
      <c r="BY190" s="1" t="s">
        <v>453</v>
      </c>
    </row>
    <row r="191" spans="1:77">
      <c r="A191" s="1">
        <v>21</v>
      </c>
      <c r="B191" s="1" t="s">
        <v>67</v>
      </c>
      <c r="C191" s="7" t="s">
        <v>64</v>
      </c>
      <c r="D191" s="1" t="s">
        <v>53</v>
      </c>
      <c r="E191" s="1" t="s">
        <v>252</v>
      </c>
      <c r="F191" s="7" t="s">
        <v>617</v>
      </c>
      <c r="G191" s="7" t="s">
        <v>259</v>
      </c>
      <c r="H191" s="10">
        <v>31636330</v>
      </c>
      <c r="I191" s="10">
        <v>31771227</v>
      </c>
      <c r="J191" s="10">
        <v>647613</v>
      </c>
      <c r="K191" s="48">
        <v>0</v>
      </c>
      <c r="L191" s="48">
        <v>1190922</v>
      </c>
      <c r="M191" s="48">
        <v>18961640</v>
      </c>
      <c r="N191" s="48">
        <v>0</v>
      </c>
      <c r="O191" s="48">
        <v>27954</v>
      </c>
      <c r="P191" s="48">
        <v>1179522</v>
      </c>
      <c r="Q191" s="48">
        <v>0</v>
      </c>
      <c r="R191" s="10">
        <v>4784358</v>
      </c>
      <c r="S191" s="10">
        <v>2981909</v>
      </c>
      <c r="T191" s="10">
        <v>0</v>
      </c>
      <c r="U191" s="10">
        <v>0</v>
      </c>
      <c r="V191" s="10">
        <v>31176468</v>
      </c>
      <c r="W191" s="12">
        <v>0.1</v>
      </c>
      <c r="X191" s="10">
        <v>0</v>
      </c>
      <c r="Y191" s="22">
        <f>1657202/31176468</f>
        <v>5.3155540261969378E-2</v>
      </c>
      <c r="Z191" s="10">
        <v>1657960</v>
      </c>
      <c r="AA191" s="10">
        <v>0</v>
      </c>
      <c r="AB191" s="10">
        <f>122254+8351+28460</f>
        <v>159065</v>
      </c>
      <c r="AC191" s="10">
        <v>781552</v>
      </c>
      <c r="AD191" s="10">
        <v>59658</v>
      </c>
      <c r="AE191" s="10">
        <v>233028</v>
      </c>
      <c r="AF191" s="10">
        <f>72697+14500</f>
        <v>87197</v>
      </c>
      <c r="AG191" s="10">
        <v>7584</v>
      </c>
      <c r="AH191" s="10">
        <v>44634</v>
      </c>
      <c r="AI191" s="10">
        <v>1893</v>
      </c>
      <c r="AJ191" s="10">
        <v>0</v>
      </c>
      <c r="AK191" s="10">
        <f>28515+44597+46977</f>
        <v>120089</v>
      </c>
      <c r="AL191" s="10">
        <v>19848</v>
      </c>
      <c r="AM191" s="10">
        <v>15084</v>
      </c>
      <c r="AN191" s="10">
        <v>198113</v>
      </c>
      <c r="AO191" s="10">
        <v>0</v>
      </c>
      <c r="AP191" s="10">
        <v>1850679</v>
      </c>
      <c r="AQ191" s="10">
        <v>1987575</v>
      </c>
      <c r="AR191" s="12">
        <f t="shared" si="15"/>
        <v>0</v>
      </c>
      <c r="AS191" s="10">
        <v>1441</v>
      </c>
      <c r="AT191" s="10">
        <v>1000</v>
      </c>
      <c r="AU191" s="10">
        <v>139662</v>
      </c>
      <c r="AV191" s="10">
        <v>0</v>
      </c>
      <c r="AW191" s="10">
        <v>217467</v>
      </c>
      <c r="AX191" s="10">
        <v>0</v>
      </c>
      <c r="AY191" s="10">
        <v>0</v>
      </c>
      <c r="AZ191" s="10">
        <v>0</v>
      </c>
      <c r="BA191" s="10">
        <v>10340</v>
      </c>
      <c r="BB191" s="10">
        <v>3607</v>
      </c>
      <c r="BC191" s="10">
        <v>15</v>
      </c>
      <c r="BD191" s="10">
        <f>13+14-3</f>
        <v>24</v>
      </c>
      <c r="BE191" s="10">
        <v>-463</v>
      </c>
      <c r="BF191" s="10">
        <v>-1888</v>
      </c>
      <c r="BG191" s="10">
        <v>-999</v>
      </c>
      <c r="BH191" s="10">
        <v>-4</v>
      </c>
      <c r="BI191" s="10">
        <f t="shared" si="16"/>
        <v>10632</v>
      </c>
      <c r="BJ191" s="1">
        <v>2</v>
      </c>
      <c r="BK191" s="1">
        <v>343</v>
      </c>
      <c r="BL191" s="1">
        <v>119</v>
      </c>
      <c r="BM191" s="1">
        <v>507</v>
      </c>
      <c r="BN191" s="1">
        <v>0</v>
      </c>
      <c r="BO191" s="1">
        <v>30</v>
      </c>
      <c r="BP191" s="1">
        <v>0</v>
      </c>
      <c r="BQ191" s="1">
        <v>4</v>
      </c>
      <c r="BR191" s="1">
        <v>49</v>
      </c>
      <c r="BS191" s="1">
        <v>302</v>
      </c>
      <c r="BT191" s="1">
        <v>5</v>
      </c>
      <c r="BU191" s="1">
        <v>15</v>
      </c>
      <c r="BV191" s="1">
        <v>24</v>
      </c>
      <c r="BW191" s="1">
        <v>115</v>
      </c>
      <c r="BX191" s="1">
        <v>1143</v>
      </c>
      <c r="BY191" s="1">
        <v>54</v>
      </c>
    </row>
    <row r="192" spans="1:77">
      <c r="A192" s="1">
        <v>21</v>
      </c>
      <c r="B192" s="1" t="s">
        <v>80</v>
      </c>
      <c r="C192" s="7" t="s">
        <v>324</v>
      </c>
      <c r="D192" s="1" t="s">
        <v>51</v>
      </c>
      <c r="E192" s="1" t="s">
        <v>252</v>
      </c>
      <c r="F192" s="7" t="s">
        <v>478</v>
      </c>
      <c r="G192" s="7" t="s">
        <v>259</v>
      </c>
      <c r="H192" s="10">
        <v>74882756</v>
      </c>
      <c r="I192" s="10">
        <v>75264935</v>
      </c>
      <c r="J192" s="10">
        <v>2659872</v>
      </c>
      <c r="K192" s="48">
        <v>26570</v>
      </c>
      <c r="L192" s="48">
        <v>1945514</v>
      </c>
      <c r="M192" s="48">
        <f>353779+1061642</f>
        <v>1415421</v>
      </c>
      <c r="N192" s="48">
        <v>40583633</v>
      </c>
      <c r="O192" s="48">
        <v>0</v>
      </c>
      <c r="P192" s="48">
        <v>587134</v>
      </c>
      <c r="Q192" s="48">
        <v>5469174</v>
      </c>
      <c r="R192" s="10">
        <v>12702286</v>
      </c>
      <c r="S192" s="10">
        <v>6825363</v>
      </c>
      <c r="T192" s="10">
        <v>23072</v>
      </c>
      <c r="U192" s="10">
        <v>0</v>
      </c>
      <c r="V192" s="10">
        <v>72464295</v>
      </c>
      <c r="W192" s="12">
        <v>0.14000000000000001</v>
      </c>
      <c r="X192" s="10">
        <v>0</v>
      </c>
      <c r="Y192" s="22">
        <f>2281899/72441223</f>
        <v>3.1500006563942189E-2</v>
      </c>
      <c r="Z192" s="10">
        <v>2273810</v>
      </c>
      <c r="AA192" s="10">
        <v>0</v>
      </c>
      <c r="AB192" s="10">
        <f>382179+19523</f>
        <v>401702</v>
      </c>
      <c r="AC192" s="10">
        <v>1295942</v>
      </c>
      <c r="AD192" s="10">
        <v>92659</v>
      </c>
      <c r="AE192" s="10">
        <v>307856</v>
      </c>
      <c r="AF192" s="10">
        <v>199817</v>
      </c>
      <c r="AG192" s="10">
        <v>3133</v>
      </c>
      <c r="AH192" s="10">
        <v>72060</v>
      </c>
      <c r="AI192" s="10">
        <v>0</v>
      </c>
      <c r="AJ192" s="10">
        <v>0</v>
      </c>
      <c r="AK192" s="10">
        <f>41204+69608+57622</f>
        <v>168434</v>
      </c>
      <c r="AL192" s="10">
        <v>21302</v>
      </c>
      <c r="AM192" s="10">
        <v>1114</v>
      </c>
      <c r="AN192" s="10">
        <v>76885</v>
      </c>
      <c r="AO192" s="10">
        <v>0</v>
      </c>
      <c r="AP192" s="10">
        <v>2367060</v>
      </c>
      <c r="AQ192" s="10">
        <v>2404705</v>
      </c>
      <c r="AR192" s="12">
        <f t="shared" si="15"/>
        <v>0</v>
      </c>
      <c r="AS192" s="10">
        <v>0</v>
      </c>
      <c r="AT192" s="10">
        <v>0</v>
      </c>
      <c r="AU192" s="10">
        <v>139662</v>
      </c>
      <c r="AV192" s="10">
        <v>0</v>
      </c>
      <c r="AW192" s="10">
        <v>392808</v>
      </c>
      <c r="AX192" s="10">
        <v>0</v>
      </c>
      <c r="AY192" s="10">
        <v>0</v>
      </c>
      <c r="AZ192" s="10">
        <v>0</v>
      </c>
      <c r="BA192" s="10">
        <v>16173</v>
      </c>
      <c r="BB192" s="10">
        <v>8743</v>
      </c>
      <c r="BC192" s="10">
        <v>1</v>
      </c>
      <c r="BD192" s="10">
        <f>43-12</f>
        <v>31</v>
      </c>
      <c r="BE192" s="10">
        <v>-756</v>
      </c>
      <c r="BF192" s="10">
        <v>-6142</v>
      </c>
      <c r="BG192" s="10">
        <v>-2504</v>
      </c>
      <c r="BH192" s="10">
        <v>0</v>
      </c>
      <c r="BI192" s="10">
        <f t="shared" si="16"/>
        <v>15546</v>
      </c>
      <c r="BJ192" s="1">
        <v>14</v>
      </c>
      <c r="BK192" s="1">
        <v>1037</v>
      </c>
      <c r="BL192" s="1">
        <v>134</v>
      </c>
      <c r="BM192" s="1">
        <v>1251</v>
      </c>
      <c r="BN192" s="1">
        <v>0</v>
      </c>
      <c r="BO192" s="1">
        <v>82</v>
      </c>
      <c r="BP192" s="1">
        <v>1</v>
      </c>
      <c r="BQ192" s="1">
        <v>14</v>
      </c>
      <c r="BR192" s="1">
        <v>80</v>
      </c>
      <c r="BS192" s="1">
        <v>427</v>
      </c>
      <c r="BT192" s="1">
        <v>20</v>
      </c>
      <c r="BU192" s="1">
        <v>41</v>
      </c>
      <c r="BV192" s="1">
        <v>78</v>
      </c>
      <c r="BW192" s="1">
        <v>293</v>
      </c>
      <c r="BX192" s="1">
        <v>2876</v>
      </c>
      <c r="BY192" s="1">
        <v>240</v>
      </c>
    </row>
    <row r="193" spans="1:77">
      <c r="A193" s="1">
        <v>21</v>
      </c>
      <c r="B193" s="1" t="s">
        <v>96</v>
      </c>
      <c r="C193" s="7" t="s">
        <v>637</v>
      </c>
      <c r="D193" s="1" t="s">
        <v>595</v>
      </c>
      <c r="E193" s="1" t="s">
        <v>252</v>
      </c>
      <c r="F193" s="7" t="s">
        <v>617</v>
      </c>
      <c r="G193" s="7" t="s">
        <v>259</v>
      </c>
      <c r="H193" s="10">
        <v>49314529</v>
      </c>
      <c r="I193" s="10">
        <v>40394314</v>
      </c>
      <c r="J193" s="10">
        <v>1354395</v>
      </c>
      <c r="K193" s="48">
        <v>0</v>
      </c>
      <c r="L193" s="48">
        <v>0</v>
      </c>
      <c r="M193" s="48">
        <v>0</v>
      </c>
      <c r="N193" s="48">
        <v>28538926</v>
      </c>
      <c r="O193" s="48">
        <v>0</v>
      </c>
      <c r="P193" s="48">
        <v>0</v>
      </c>
      <c r="Q193" s="48">
        <v>2202962</v>
      </c>
      <c r="R193" s="10">
        <v>9857109</v>
      </c>
      <c r="S193" s="10">
        <v>4219155</v>
      </c>
      <c r="T193" s="10">
        <v>0</v>
      </c>
      <c r="U193" s="10">
        <v>0</v>
      </c>
      <c r="V193" s="10">
        <v>47558284</v>
      </c>
      <c r="W193" s="12">
        <v>0.04</v>
      </c>
      <c r="X193" s="10">
        <v>0</v>
      </c>
      <c r="Y193" s="22">
        <f>1934891/47558284</f>
        <v>4.0684626047483123E-2</v>
      </c>
      <c r="Z193" s="10">
        <v>1933395</v>
      </c>
      <c r="AA193" s="10">
        <v>0</v>
      </c>
      <c r="AB193" s="10">
        <f>79785+6836</f>
        <v>86621</v>
      </c>
      <c r="AC193" s="10">
        <v>933206</v>
      </c>
      <c r="AD193" s="10">
        <v>70951</v>
      </c>
      <c r="AE193" s="10">
        <v>235866</v>
      </c>
      <c r="AF193" s="10">
        <f>160236+3152</f>
        <v>163388</v>
      </c>
      <c r="AG193" s="10">
        <v>0</v>
      </c>
      <c r="AH193" s="10">
        <v>20589</v>
      </c>
      <c r="AI193" s="10">
        <v>50604</v>
      </c>
      <c r="AJ193" s="10">
        <v>0</v>
      </c>
      <c r="AK193" s="10">
        <f>45589+73295+75195</f>
        <v>194079</v>
      </c>
      <c r="AL193" s="10">
        <v>24866</v>
      </c>
      <c r="AM193" s="10">
        <v>609</v>
      </c>
      <c r="AN193" s="10">
        <v>105260</v>
      </c>
      <c r="AO193" s="10">
        <v>0</v>
      </c>
      <c r="AP193" s="10">
        <v>1925496</v>
      </c>
      <c r="AQ193" s="10">
        <v>1950666</v>
      </c>
      <c r="AR193" s="12">
        <f t="shared" si="15"/>
        <v>0</v>
      </c>
      <c r="AS193" s="10">
        <v>804</v>
      </c>
      <c r="AT193" s="10">
        <v>0</v>
      </c>
      <c r="AU193" s="10">
        <v>139662</v>
      </c>
      <c r="AV193" s="10">
        <v>0</v>
      </c>
      <c r="AW193" s="10">
        <v>220074</v>
      </c>
      <c r="AX193" s="10">
        <v>0</v>
      </c>
      <c r="AY193" s="10">
        <v>0</v>
      </c>
      <c r="AZ193" s="10">
        <v>0</v>
      </c>
      <c r="BA193" s="10">
        <v>14498</v>
      </c>
      <c r="BB193" s="10">
        <v>5729</v>
      </c>
      <c r="BC193" s="10">
        <v>0</v>
      </c>
      <c r="BD193" s="10">
        <f>1+16-2</f>
        <v>15</v>
      </c>
      <c r="BE193" s="10">
        <v>-402</v>
      </c>
      <c r="BF193" s="10">
        <v>-2077</v>
      </c>
      <c r="BG193" s="10">
        <v>-1328</v>
      </c>
      <c r="BH193" s="10">
        <v>-11</v>
      </c>
      <c r="BI193" s="10">
        <f t="shared" si="16"/>
        <v>16424</v>
      </c>
      <c r="BJ193" s="1">
        <v>34</v>
      </c>
      <c r="BK193" s="1">
        <v>504</v>
      </c>
      <c r="BL193" s="1">
        <v>190</v>
      </c>
      <c r="BM193" s="1">
        <v>632</v>
      </c>
      <c r="BN193" s="1">
        <v>2</v>
      </c>
      <c r="BO193" s="1">
        <v>0</v>
      </c>
      <c r="BP193" s="1" t="s">
        <v>453</v>
      </c>
      <c r="BQ193" s="1" t="s">
        <v>453</v>
      </c>
      <c r="BR193" s="1" t="s">
        <v>453</v>
      </c>
      <c r="BS193" s="1" t="s">
        <v>453</v>
      </c>
      <c r="BT193" s="1" t="s">
        <v>453</v>
      </c>
      <c r="BU193" s="1" t="s">
        <v>453</v>
      </c>
      <c r="BV193" s="1" t="s">
        <v>453</v>
      </c>
      <c r="BW193" s="1" t="s">
        <v>453</v>
      </c>
      <c r="BX193" s="1" t="s">
        <v>453</v>
      </c>
      <c r="BY193" s="1" t="s">
        <v>453</v>
      </c>
    </row>
    <row r="194" spans="1:77">
      <c r="A194" s="1">
        <v>21</v>
      </c>
      <c r="B194" s="1" t="s">
        <v>114</v>
      </c>
      <c r="C194" s="7" t="s">
        <v>338</v>
      </c>
      <c r="D194" s="1" t="s">
        <v>589</v>
      </c>
      <c r="E194" s="1" t="s">
        <v>531</v>
      </c>
      <c r="F194" s="7"/>
      <c r="G194" s="7" t="s">
        <v>535</v>
      </c>
      <c r="H194" s="10">
        <v>31763362</v>
      </c>
      <c r="I194" s="10">
        <v>31927090</v>
      </c>
      <c r="J194" s="10">
        <v>1024616</v>
      </c>
      <c r="K194" s="48">
        <v>0</v>
      </c>
      <c r="L194" s="48">
        <v>0</v>
      </c>
      <c r="M194" s="48">
        <v>0</v>
      </c>
      <c r="N194" s="48">
        <v>10191740</v>
      </c>
      <c r="O194" s="48">
        <v>0</v>
      </c>
      <c r="P194" s="48">
        <v>0</v>
      </c>
      <c r="Q194" s="48">
        <v>2429262</v>
      </c>
      <c r="R194" s="10">
        <v>10172832</v>
      </c>
      <c r="S194" s="10">
        <v>4791874</v>
      </c>
      <c r="T194" s="10">
        <v>25090</v>
      </c>
      <c r="U194" s="10">
        <v>0</v>
      </c>
      <c r="V194" s="10">
        <v>30518810</v>
      </c>
      <c r="W194" s="12">
        <v>0.1515</v>
      </c>
      <c r="X194" s="10">
        <v>0</v>
      </c>
      <c r="Y194" s="22">
        <f>2150607/29830442</f>
        <v>7.2094372587573466E-2</v>
      </c>
      <c r="Z194" s="10">
        <v>2176825</v>
      </c>
      <c r="AA194" s="10">
        <v>0</v>
      </c>
      <c r="AB194" s="10">
        <f>145868+14161+19397</f>
        <v>179426</v>
      </c>
      <c r="AC194" s="10">
        <v>1029215</v>
      </c>
      <c r="AD194" s="10">
        <v>92551</v>
      </c>
      <c r="AE194" s="10">
        <v>229696</v>
      </c>
      <c r="AF194" s="10">
        <f>142469+33549</f>
        <v>176018</v>
      </c>
      <c r="AG194" s="10">
        <v>1090</v>
      </c>
      <c r="AH194" s="10">
        <v>27445</v>
      </c>
      <c r="AI194" s="10">
        <v>24903</v>
      </c>
      <c r="AJ194" s="10">
        <v>72216</v>
      </c>
      <c r="AK194" s="10">
        <f>35073+19470+81681</f>
        <v>136224</v>
      </c>
      <c r="AL194" s="10">
        <v>20762</v>
      </c>
      <c r="AM194" s="10">
        <v>11911</v>
      </c>
      <c r="AN194" s="10">
        <v>117534</v>
      </c>
      <c r="AO194" s="10">
        <v>0</v>
      </c>
      <c r="AP194" s="10">
        <v>2384781</v>
      </c>
      <c r="AQ194" s="10">
        <v>2383249</v>
      </c>
      <c r="AR194" s="12">
        <f t="shared" si="15"/>
        <v>0</v>
      </c>
      <c r="AS194" s="10">
        <v>0</v>
      </c>
      <c r="AT194" s="10">
        <v>0</v>
      </c>
      <c r="AU194" s="10">
        <v>139662</v>
      </c>
      <c r="AV194" s="10">
        <v>0</v>
      </c>
      <c r="AW194" s="10">
        <v>223217</v>
      </c>
      <c r="AX194" s="10">
        <v>0</v>
      </c>
      <c r="AY194" s="10">
        <v>0</v>
      </c>
      <c r="AZ194" s="10">
        <v>0</v>
      </c>
      <c r="BA194" s="10">
        <v>13977</v>
      </c>
      <c r="BB194" s="10">
        <v>5536</v>
      </c>
      <c r="BC194" s="10">
        <v>161</v>
      </c>
      <c r="BD194" s="10">
        <v>-22</v>
      </c>
      <c r="BE194" s="10">
        <v>-557</v>
      </c>
      <c r="BF194" s="10">
        <v>-3488</v>
      </c>
      <c r="BG194" s="10">
        <v>-1148</v>
      </c>
      <c r="BH194" s="10">
        <v>-11</v>
      </c>
      <c r="BI194" s="10">
        <f t="shared" si="16"/>
        <v>14448</v>
      </c>
      <c r="BJ194" s="1">
        <v>143</v>
      </c>
      <c r="BK194" s="1">
        <v>131</v>
      </c>
      <c r="BL194" s="1">
        <v>282</v>
      </c>
      <c r="BM194" s="1">
        <v>569</v>
      </c>
      <c r="BN194" s="1">
        <v>154</v>
      </c>
      <c r="BO194" s="1">
        <v>12</v>
      </c>
      <c r="BP194" s="1" t="s">
        <v>453</v>
      </c>
      <c r="BQ194" s="1" t="s">
        <v>453</v>
      </c>
      <c r="BR194" s="1" t="s">
        <v>453</v>
      </c>
      <c r="BS194" s="1" t="s">
        <v>453</v>
      </c>
      <c r="BT194" s="1" t="s">
        <v>453</v>
      </c>
      <c r="BU194" s="1" t="s">
        <v>453</v>
      </c>
      <c r="BV194" s="1" t="s">
        <v>453</v>
      </c>
      <c r="BW194" s="1" t="s">
        <v>453</v>
      </c>
      <c r="BX194" s="1" t="s">
        <v>453</v>
      </c>
      <c r="BY194" s="1" t="s">
        <v>453</v>
      </c>
    </row>
    <row r="195" spans="1:77">
      <c r="A195" s="1">
        <v>21</v>
      </c>
      <c r="B195" s="1" t="s">
        <v>170</v>
      </c>
      <c r="C195" s="7" t="s">
        <v>401</v>
      </c>
      <c r="D195" s="1" t="s">
        <v>323</v>
      </c>
      <c r="E195" s="1" t="s">
        <v>237</v>
      </c>
      <c r="F195" s="7" t="s">
        <v>427</v>
      </c>
      <c r="G195" s="7" t="s">
        <v>239</v>
      </c>
      <c r="H195" s="10">
        <v>47312409</v>
      </c>
      <c r="I195" s="10">
        <v>47323634</v>
      </c>
      <c r="J195" s="10">
        <v>2457885</v>
      </c>
      <c r="K195" s="48">
        <v>0</v>
      </c>
      <c r="L195" s="48">
        <v>0</v>
      </c>
      <c r="M195" s="48">
        <v>0</v>
      </c>
      <c r="N195" s="48">
        <v>31384056</v>
      </c>
      <c r="O195" s="48">
        <v>0</v>
      </c>
      <c r="P195" s="48">
        <v>0</v>
      </c>
      <c r="Q195" s="48">
        <v>1989846</v>
      </c>
      <c r="R195" s="10">
        <v>4141108</v>
      </c>
      <c r="S195" s="10">
        <v>1116446</v>
      </c>
      <c r="T195" s="10">
        <v>126989</v>
      </c>
      <c r="U195" s="10">
        <v>0</v>
      </c>
      <c r="V195" s="10">
        <v>39689881</v>
      </c>
      <c r="W195" s="12">
        <v>0.17</v>
      </c>
      <c r="X195" s="10">
        <v>0</v>
      </c>
      <c r="Y195" s="22">
        <f>929518/39561075</f>
        <v>2.3495772043605995E-2</v>
      </c>
      <c r="Z195" s="10">
        <v>929619</v>
      </c>
      <c r="AA195" s="10">
        <v>0</v>
      </c>
      <c r="AB195" s="10">
        <f>10507+1185+828</f>
        <v>12520</v>
      </c>
      <c r="AC195" s="10">
        <v>484079</v>
      </c>
      <c r="AD195" s="10">
        <v>36750</v>
      </c>
      <c r="AE195" s="10">
        <v>53469</v>
      </c>
      <c r="AF195" s="10">
        <v>58142</v>
      </c>
      <c r="AG195" s="10">
        <v>0</v>
      </c>
      <c r="AH195" s="10">
        <v>22063</v>
      </c>
      <c r="AI195" s="10">
        <v>2300</v>
      </c>
      <c r="AJ195" s="10">
        <v>18169</v>
      </c>
      <c r="AK195" s="10">
        <f>29623+27659+52705</f>
        <v>109987</v>
      </c>
      <c r="AL195" s="10">
        <v>11841</v>
      </c>
      <c r="AM195" s="10">
        <v>1361</v>
      </c>
      <c r="AN195" s="10">
        <v>49383</v>
      </c>
      <c r="AO195" s="10">
        <v>0</v>
      </c>
      <c r="AP195" s="10">
        <v>913782</v>
      </c>
      <c r="AQ195" s="10">
        <v>954488</v>
      </c>
      <c r="AR195" s="12">
        <f t="shared" si="15"/>
        <v>0</v>
      </c>
      <c r="AS195" s="10">
        <v>0</v>
      </c>
      <c r="AT195" s="10">
        <v>0</v>
      </c>
      <c r="AU195" s="10">
        <v>139662</v>
      </c>
      <c r="AV195" s="10">
        <v>0</v>
      </c>
      <c r="AW195" s="10">
        <v>85858</v>
      </c>
      <c r="AX195" s="10">
        <v>0</v>
      </c>
      <c r="AY195" s="10">
        <v>0</v>
      </c>
      <c r="AZ195" s="10">
        <v>0</v>
      </c>
      <c r="BA195" s="10">
        <v>4517</v>
      </c>
      <c r="BB195" s="10">
        <v>3486</v>
      </c>
      <c r="BC195" s="10">
        <v>0</v>
      </c>
      <c r="BD195" s="10">
        <v>-2</v>
      </c>
      <c r="BE195" s="10">
        <v>-208</v>
      </c>
      <c r="BF195" s="10">
        <v>-2208</v>
      </c>
      <c r="BG195" s="10">
        <v>-540</v>
      </c>
      <c r="BH195" s="10">
        <v>-5</v>
      </c>
      <c r="BI195" s="10">
        <f t="shared" si="16"/>
        <v>5040</v>
      </c>
      <c r="BJ195" s="1">
        <v>0</v>
      </c>
      <c r="BK195" s="1">
        <v>70</v>
      </c>
      <c r="BL195" s="1">
        <v>34</v>
      </c>
      <c r="BM195" s="1">
        <v>405</v>
      </c>
      <c r="BN195" s="1">
        <v>0</v>
      </c>
      <c r="BO195" s="1">
        <v>31</v>
      </c>
      <c r="BP195" s="1">
        <v>0</v>
      </c>
      <c r="BQ195" s="1">
        <v>1</v>
      </c>
      <c r="BR195" s="1">
        <v>38</v>
      </c>
      <c r="BS195" s="1">
        <v>42</v>
      </c>
      <c r="BT195" s="1">
        <v>4</v>
      </c>
      <c r="BU195" s="1">
        <v>21</v>
      </c>
      <c r="BV195" s="1">
        <v>10</v>
      </c>
      <c r="BW195" s="1">
        <v>260</v>
      </c>
      <c r="BX195" s="1">
        <v>369</v>
      </c>
      <c r="BY195" s="1">
        <v>59</v>
      </c>
    </row>
    <row r="196" spans="1:77">
      <c r="A196" s="1">
        <v>21</v>
      </c>
      <c r="B196" s="1" t="s">
        <v>283</v>
      </c>
      <c r="C196" s="7" t="s">
        <v>378</v>
      </c>
      <c r="D196" s="1" t="s">
        <v>639</v>
      </c>
      <c r="E196" s="1" t="s">
        <v>237</v>
      </c>
      <c r="F196" s="7" t="s">
        <v>478</v>
      </c>
      <c r="G196" s="7" t="s">
        <v>239</v>
      </c>
      <c r="H196" s="10">
        <v>9588161</v>
      </c>
      <c r="I196" s="10">
        <v>9625384</v>
      </c>
      <c r="J196" s="10">
        <v>574770</v>
      </c>
      <c r="K196" s="48">
        <v>18590</v>
      </c>
      <c r="L196" s="48">
        <v>183851</v>
      </c>
      <c r="M196" s="48">
        <v>0</v>
      </c>
      <c r="N196" s="48">
        <v>4742307</v>
      </c>
      <c r="O196" s="48">
        <v>0</v>
      </c>
      <c r="P196" s="48">
        <v>0</v>
      </c>
      <c r="Q196" s="48">
        <v>577356</v>
      </c>
      <c r="R196" s="10">
        <v>2712178</v>
      </c>
      <c r="S196" s="10">
        <v>763800</v>
      </c>
      <c r="T196" s="10">
        <v>8505</v>
      </c>
      <c r="U196" s="10">
        <v>0</v>
      </c>
      <c r="V196" s="10">
        <v>9624937</v>
      </c>
      <c r="W196" s="12">
        <v>0.13</v>
      </c>
      <c r="X196" s="10">
        <v>0</v>
      </c>
      <c r="Y196" s="22">
        <f>618405/9463498</f>
        <v>6.5346344448955346E-2</v>
      </c>
      <c r="Z196" s="10">
        <v>618350</v>
      </c>
      <c r="AA196" s="10">
        <v>0</v>
      </c>
      <c r="AB196" s="10">
        <f>37223+2091</f>
        <v>39314</v>
      </c>
      <c r="AC196" s="10">
        <v>264313</v>
      </c>
      <c r="AD196" s="10">
        <v>1735</v>
      </c>
      <c r="AE196" s="10">
        <v>15407</v>
      </c>
      <c r="AF196" s="10">
        <f>23028+4034</f>
        <v>27062</v>
      </c>
      <c r="AG196" s="10">
        <v>0</v>
      </c>
      <c r="AH196" s="10">
        <v>26692</v>
      </c>
      <c r="AI196" s="10">
        <v>0</v>
      </c>
      <c r="AJ196" s="10">
        <v>0</v>
      </c>
      <c r="AK196" s="10">
        <f>23652+27034+40921</f>
        <v>91607</v>
      </c>
      <c r="AL196" s="10">
        <v>5260</v>
      </c>
      <c r="AM196" s="10">
        <v>0</v>
      </c>
      <c r="AN196" s="10">
        <v>30877</v>
      </c>
      <c r="AO196" s="10">
        <v>19145</v>
      </c>
      <c r="AP196" s="10">
        <v>518125</v>
      </c>
      <c r="AQ196" s="10">
        <v>601936</v>
      </c>
      <c r="AR196" s="12">
        <f t="shared" si="15"/>
        <v>3.6950542822677929E-2</v>
      </c>
      <c r="AS196" s="10">
        <v>0</v>
      </c>
      <c r="AT196" s="10">
        <v>0</v>
      </c>
      <c r="AU196" s="10">
        <v>139662</v>
      </c>
      <c r="AV196" s="10">
        <v>0</v>
      </c>
      <c r="AW196" s="10">
        <v>67657</v>
      </c>
      <c r="AX196" s="10">
        <v>0</v>
      </c>
      <c r="AY196" s="10">
        <v>0</v>
      </c>
      <c r="AZ196" s="10">
        <v>0</v>
      </c>
      <c r="BA196" s="10">
        <v>1708</v>
      </c>
      <c r="BB196" s="10">
        <v>1095</v>
      </c>
      <c r="BC196" s="10">
        <v>0</v>
      </c>
      <c r="BD196" s="10">
        <v>0</v>
      </c>
      <c r="BE196" s="10">
        <v>-123</v>
      </c>
      <c r="BF196" s="10">
        <v>-512</v>
      </c>
      <c r="BG196" s="10">
        <v>-142</v>
      </c>
      <c r="BH196" s="10">
        <v>0</v>
      </c>
      <c r="BI196" s="10">
        <f t="shared" si="16"/>
        <v>2026</v>
      </c>
      <c r="BJ196" s="1">
        <v>0</v>
      </c>
      <c r="BK196" s="1">
        <v>58</v>
      </c>
      <c r="BL196" s="1">
        <v>22</v>
      </c>
      <c r="BM196" s="1">
        <v>55</v>
      </c>
      <c r="BN196" s="31">
        <v>0</v>
      </c>
      <c r="BO196" s="31">
        <v>9</v>
      </c>
      <c r="BP196" s="1" t="s">
        <v>453</v>
      </c>
      <c r="BQ196" s="1" t="s">
        <v>453</v>
      </c>
      <c r="BR196" s="1" t="s">
        <v>453</v>
      </c>
      <c r="BS196" s="1" t="s">
        <v>453</v>
      </c>
      <c r="BT196" s="1" t="s">
        <v>453</v>
      </c>
      <c r="BU196" s="1" t="s">
        <v>453</v>
      </c>
      <c r="BV196" s="1" t="s">
        <v>453</v>
      </c>
      <c r="BW196" s="1" t="s">
        <v>453</v>
      </c>
      <c r="BX196" s="1" t="s">
        <v>453</v>
      </c>
      <c r="BY196" s="1" t="s">
        <v>453</v>
      </c>
    </row>
    <row r="197" spans="1:77">
      <c r="A197" s="1">
        <v>21</v>
      </c>
      <c r="B197" s="1" t="s">
        <v>293</v>
      </c>
      <c r="C197" s="1" t="s">
        <v>456</v>
      </c>
      <c r="D197" s="1" t="s">
        <v>241</v>
      </c>
      <c r="E197" s="1" t="s">
        <v>237</v>
      </c>
      <c r="F197" s="7" t="s">
        <v>617</v>
      </c>
      <c r="G197" s="7" t="s">
        <v>239</v>
      </c>
      <c r="H197" s="10">
        <v>41940751</v>
      </c>
      <c r="I197" s="10">
        <v>42238318</v>
      </c>
      <c r="J197" s="10">
        <v>1043167</v>
      </c>
      <c r="K197" s="48">
        <v>3392882</v>
      </c>
      <c r="L197" s="48">
        <v>476091</v>
      </c>
      <c r="M197" s="48">
        <v>460907</v>
      </c>
      <c r="N197" s="48">
        <v>24468592</v>
      </c>
      <c r="O197" s="48">
        <v>12566</v>
      </c>
      <c r="P197" s="48">
        <v>81158</v>
      </c>
      <c r="Q197" s="48">
        <v>1180387</v>
      </c>
      <c r="R197" s="10">
        <v>2214814</v>
      </c>
      <c r="S197" s="10">
        <v>4877284</v>
      </c>
      <c r="T197" s="10">
        <v>1896</v>
      </c>
      <c r="U197" s="10">
        <v>0</v>
      </c>
      <c r="V197" s="10">
        <v>38207077</v>
      </c>
      <c r="W197" s="12">
        <v>0.2747</v>
      </c>
      <c r="X197" s="10">
        <v>0</v>
      </c>
      <c r="Y197" s="22">
        <f>1040487/38205183</f>
        <v>2.72341844298979E-2</v>
      </c>
      <c r="Z197" s="10">
        <v>1040499</v>
      </c>
      <c r="AA197" s="10">
        <v>0</v>
      </c>
      <c r="AB197" s="10">
        <f>268185+15870+4645</f>
        <v>288700</v>
      </c>
      <c r="AC197" s="10">
        <v>651838</v>
      </c>
      <c r="AD197" s="10">
        <v>52578</v>
      </c>
      <c r="AE197" s="10">
        <v>81587</v>
      </c>
      <c r="AF197" s="10">
        <v>123278</v>
      </c>
      <c r="AG197" s="10">
        <v>3387</v>
      </c>
      <c r="AH197" s="10">
        <v>26496</v>
      </c>
      <c r="AI197" s="10">
        <v>6380</v>
      </c>
      <c r="AJ197" s="10">
        <v>0</v>
      </c>
      <c r="AK197" s="10">
        <f>13084+49169+51006</f>
        <v>113259</v>
      </c>
      <c r="AL197" s="10">
        <v>13824</v>
      </c>
      <c r="AM197" s="10">
        <v>796</v>
      </c>
      <c r="AN197" s="10">
        <v>59627</v>
      </c>
      <c r="AO197" s="10">
        <v>0</v>
      </c>
      <c r="AP197" s="10">
        <v>1204515</v>
      </c>
      <c r="AQ197" s="10">
        <v>1217884</v>
      </c>
      <c r="AR197" s="12">
        <f t="shared" ref="AR197:AR204" si="17">AO197/AP197</f>
        <v>0</v>
      </c>
      <c r="AS197" s="10">
        <v>1818</v>
      </c>
      <c r="AT197" s="10">
        <v>0</v>
      </c>
      <c r="AU197" s="10">
        <v>139662</v>
      </c>
      <c r="AV197" s="10">
        <v>0</v>
      </c>
      <c r="AW197" s="10">
        <v>132375</v>
      </c>
      <c r="AX197" s="10">
        <v>0</v>
      </c>
      <c r="AY197" s="10">
        <v>0</v>
      </c>
      <c r="AZ197" s="10">
        <v>0</v>
      </c>
      <c r="BA197" s="10">
        <v>6570</v>
      </c>
      <c r="BB197" s="10">
        <v>4388</v>
      </c>
      <c r="BC197" s="10">
        <v>0</v>
      </c>
      <c r="BD197" s="10">
        <v>48</v>
      </c>
      <c r="BE197" s="10">
        <v>-310</v>
      </c>
      <c r="BF197" s="10">
        <v>-2075</v>
      </c>
      <c r="BG197" s="10">
        <v>-238</v>
      </c>
      <c r="BH197" s="10">
        <v>-1</v>
      </c>
      <c r="BI197" s="10">
        <f t="shared" si="16"/>
        <v>8382</v>
      </c>
      <c r="BJ197" s="1">
        <v>1</v>
      </c>
      <c r="BK197" s="1">
        <v>44</v>
      </c>
      <c r="BL197" s="1">
        <v>18</v>
      </c>
      <c r="BM197" s="1">
        <v>262</v>
      </c>
      <c r="BN197" s="1">
        <v>3</v>
      </c>
      <c r="BO197" s="1">
        <v>21</v>
      </c>
      <c r="BP197" s="1" t="s">
        <v>453</v>
      </c>
      <c r="BQ197" s="1" t="s">
        <v>453</v>
      </c>
      <c r="BR197" s="1" t="s">
        <v>453</v>
      </c>
      <c r="BS197" s="1" t="s">
        <v>453</v>
      </c>
      <c r="BT197" s="1" t="s">
        <v>453</v>
      </c>
      <c r="BU197" s="1" t="s">
        <v>453</v>
      </c>
      <c r="BV197" s="1" t="s">
        <v>453</v>
      </c>
      <c r="BW197" s="1" t="s">
        <v>453</v>
      </c>
      <c r="BX197" s="1" t="s">
        <v>453</v>
      </c>
      <c r="BY197" s="1" t="s">
        <v>453</v>
      </c>
    </row>
    <row r="198" spans="1:77">
      <c r="A198" s="1">
        <v>21</v>
      </c>
      <c r="B198" s="1" t="s">
        <v>298</v>
      </c>
      <c r="C198" s="7" t="s">
        <v>108</v>
      </c>
      <c r="D198" s="1" t="s">
        <v>398</v>
      </c>
      <c r="E198" s="1" t="s">
        <v>252</v>
      </c>
      <c r="F198" s="7" t="s">
        <v>427</v>
      </c>
      <c r="G198" s="7" t="s">
        <v>259</v>
      </c>
      <c r="H198" s="10">
        <v>50135903</v>
      </c>
      <c r="I198" s="10">
        <v>50375547</v>
      </c>
      <c r="J198" s="10">
        <v>1076015</v>
      </c>
      <c r="K198" s="48">
        <v>8420976</v>
      </c>
      <c r="L198" s="48">
        <v>94309</v>
      </c>
      <c r="M198" s="48">
        <v>25144612</v>
      </c>
      <c r="N198" s="48">
        <v>0</v>
      </c>
      <c r="O198" s="48">
        <v>0</v>
      </c>
      <c r="P198" s="48">
        <v>2383850</v>
      </c>
      <c r="Q198" s="48">
        <v>0</v>
      </c>
      <c r="R198" s="10">
        <v>8538656</v>
      </c>
      <c r="S198" s="10">
        <v>2774466</v>
      </c>
      <c r="T198" s="10">
        <v>20765</v>
      </c>
      <c r="U198" s="10">
        <v>0</v>
      </c>
      <c r="V198" s="10">
        <v>49149282</v>
      </c>
      <c r="W198" s="12">
        <v>9.69E-2</v>
      </c>
      <c r="X198" s="10">
        <v>0</v>
      </c>
      <c r="Y198" s="22">
        <f>1670571/48973180</f>
        <v>3.4111956789410043E-2</v>
      </c>
      <c r="Z198" s="10">
        <v>1670395</v>
      </c>
      <c r="AA198" s="10">
        <v>0</v>
      </c>
      <c r="AB198" s="10">
        <f>219244+18134+15704</f>
        <v>253082</v>
      </c>
      <c r="AC198" s="10">
        <v>934917</v>
      </c>
      <c r="AD198" s="10">
        <v>71171</v>
      </c>
      <c r="AE198" s="10">
        <v>223194</v>
      </c>
      <c r="AF198" s="10">
        <v>124153</v>
      </c>
      <c r="AG198" s="10">
        <v>5638</v>
      </c>
      <c r="AH198" s="10">
        <v>21339</v>
      </c>
      <c r="AI198" s="10">
        <v>580</v>
      </c>
      <c r="AJ198" s="10">
        <v>0</v>
      </c>
      <c r="AK198" s="10">
        <f>34063+53057+56035</f>
        <v>143155</v>
      </c>
      <c r="AL198" s="10">
        <v>21159</v>
      </c>
      <c r="AM198" s="10">
        <v>16016</v>
      </c>
      <c r="AN198" s="10">
        <v>84964</v>
      </c>
      <c r="AO198" s="10">
        <v>0</v>
      </c>
      <c r="AP198" s="10">
        <v>1742708</v>
      </c>
      <c r="AQ198" s="10">
        <v>1768305</v>
      </c>
      <c r="AR198" s="12">
        <f t="shared" si="17"/>
        <v>0</v>
      </c>
      <c r="AS198" s="10">
        <v>0</v>
      </c>
      <c r="AT198" s="10">
        <v>0</v>
      </c>
      <c r="AU198" s="10">
        <v>139662</v>
      </c>
      <c r="AV198" s="10">
        <v>0</v>
      </c>
      <c r="AW198" s="10">
        <v>237220</v>
      </c>
      <c r="AX198" s="10">
        <v>0</v>
      </c>
      <c r="AY198" s="10">
        <v>0</v>
      </c>
      <c r="AZ198" s="10">
        <v>0</v>
      </c>
      <c r="BA198" s="10">
        <v>11537</v>
      </c>
      <c r="BB198" s="10">
        <v>4049</v>
      </c>
      <c r="BC198" s="10">
        <v>49</v>
      </c>
      <c r="BD198" s="10">
        <v>-7</v>
      </c>
      <c r="BE198" s="10">
        <v>-500</v>
      </c>
      <c r="BF198" s="10">
        <v>-2092</v>
      </c>
      <c r="BG198" s="10">
        <v>-1762</v>
      </c>
      <c r="BH198" s="10">
        <v>-2</v>
      </c>
      <c r="BI198" s="10">
        <f t="shared" si="16"/>
        <v>11272</v>
      </c>
      <c r="BJ198" s="1">
        <v>23</v>
      </c>
      <c r="BK198" s="1">
        <v>713</v>
      </c>
      <c r="BL198" s="1">
        <v>135</v>
      </c>
      <c r="BM198" s="1">
        <v>444</v>
      </c>
      <c r="BN198" s="1">
        <v>440</v>
      </c>
      <c r="BO198" s="1">
        <v>30</v>
      </c>
      <c r="BP198" s="1" t="s">
        <v>453</v>
      </c>
      <c r="BQ198" s="1" t="s">
        <v>453</v>
      </c>
      <c r="BR198" s="1" t="s">
        <v>453</v>
      </c>
      <c r="BS198" s="1" t="s">
        <v>453</v>
      </c>
      <c r="BT198" s="1" t="s">
        <v>453</v>
      </c>
      <c r="BU198" s="1" t="s">
        <v>453</v>
      </c>
      <c r="BV198" s="1" t="s">
        <v>453</v>
      </c>
      <c r="BW198" s="1" t="s">
        <v>453</v>
      </c>
      <c r="BX198" s="1" t="s">
        <v>453</v>
      </c>
      <c r="BY198" s="1" t="s">
        <v>453</v>
      </c>
    </row>
    <row r="199" spans="1:77">
      <c r="A199" s="1">
        <v>21</v>
      </c>
      <c r="B199" s="1" t="s">
        <v>386</v>
      </c>
      <c r="C199" s="7" t="s">
        <v>541</v>
      </c>
      <c r="D199" s="1" t="s">
        <v>589</v>
      </c>
      <c r="E199" s="1" t="s">
        <v>531</v>
      </c>
      <c r="F199" s="7"/>
      <c r="G199" s="7" t="s">
        <v>536</v>
      </c>
      <c r="H199" s="10">
        <v>32628734</v>
      </c>
      <c r="I199" s="10">
        <v>32850400</v>
      </c>
      <c r="J199" s="10">
        <v>1322541</v>
      </c>
      <c r="K199" s="48">
        <v>0</v>
      </c>
      <c r="L199" s="48">
        <v>0</v>
      </c>
      <c r="M199" s="48">
        <v>0</v>
      </c>
      <c r="N199" s="48">
        <v>10467065</v>
      </c>
      <c r="O199" s="48">
        <v>0</v>
      </c>
      <c r="P199" s="48">
        <v>0</v>
      </c>
      <c r="Q199" s="48">
        <v>2356252</v>
      </c>
      <c r="R199" s="10">
        <v>9756356</v>
      </c>
      <c r="S199" s="10">
        <v>5219187</v>
      </c>
      <c r="T199" s="10">
        <v>30090</v>
      </c>
      <c r="U199" s="10">
        <v>0</v>
      </c>
      <c r="V199" s="10">
        <v>30899376</v>
      </c>
      <c r="W199" s="12">
        <v>0.13020000000000001</v>
      </c>
      <c r="X199" s="10">
        <v>0</v>
      </c>
      <c r="Y199" s="22">
        <f>2033200/29819160</f>
        <v>6.8184348586613444E-2</v>
      </c>
      <c r="Z199" s="10">
        <v>2020299</v>
      </c>
      <c r="AA199" s="10">
        <v>0</v>
      </c>
      <c r="AB199" s="10">
        <f>204337+15312+17173</f>
        <v>236822</v>
      </c>
      <c r="AC199" s="10">
        <v>1029214</v>
      </c>
      <c r="AD199" s="10">
        <v>89026</v>
      </c>
      <c r="AE199" s="10">
        <v>223328</v>
      </c>
      <c r="AF199" s="10">
        <f>164019+22987</f>
        <v>187006</v>
      </c>
      <c r="AG199" s="10">
        <v>0</v>
      </c>
      <c r="AH199" s="10">
        <v>18650</v>
      </c>
      <c r="AI199" s="10">
        <v>25764</v>
      </c>
      <c r="AJ199" s="10">
        <v>65254</v>
      </c>
      <c r="AK199" s="10">
        <f>40413+16152+79531</f>
        <v>136096</v>
      </c>
      <c r="AL199" s="10">
        <v>21941</v>
      </c>
      <c r="AM199" s="10">
        <v>0</v>
      </c>
      <c r="AN199" s="10">
        <v>125529</v>
      </c>
      <c r="AO199" s="10">
        <v>0</v>
      </c>
      <c r="AP199" s="10">
        <v>2265674</v>
      </c>
      <c r="AQ199" s="10">
        <v>2302235</v>
      </c>
      <c r="AR199" s="12">
        <f t="shared" si="17"/>
        <v>0</v>
      </c>
      <c r="AS199" s="10">
        <v>0</v>
      </c>
      <c r="AT199" s="10">
        <v>0</v>
      </c>
      <c r="AU199" s="10">
        <v>139662</v>
      </c>
      <c r="AV199" s="10">
        <v>0</v>
      </c>
      <c r="AW199" s="10">
        <v>223829</v>
      </c>
      <c r="AX199" s="10">
        <v>0</v>
      </c>
      <c r="AY199" s="10">
        <v>0</v>
      </c>
      <c r="AZ199" s="10">
        <v>0</v>
      </c>
      <c r="BA199" s="10">
        <v>15223</v>
      </c>
      <c r="BB199" s="10">
        <v>5673</v>
      </c>
      <c r="BC199" s="10">
        <v>0</v>
      </c>
      <c r="BD199" s="10">
        <v>0</v>
      </c>
      <c r="BE199" s="10">
        <v>-408</v>
      </c>
      <c r="BF199" s="10">
        <v>-3053</v>
      </c>
      <c r="BG199" s="10">
        <v>-865</v>
      </c>
      <c r="BH199" s="10">
        <v>0</v>
      </c>
      <c r="BI199" s="10">
        <f t="shared" si="16"/>
        <v>16570</v>
      </c>
      <c r="BJ199" s="1">
        <v>231</v>
      </c>
      <c r="BK199" s="1">
        <v>108</v>
      </c>
      <c r="BL199" s="1">
        <v>75</v>
      </c>
      <c r="BM199" s="1">
        <v>626</v>
      </c>
      <c r="BN199" s="1">
        <v>56</v>
      </c>
      <c r="BO199" s="1">
        <v>0</v>
      </c>
      <c r="BP199" s="1" t="s">
        <v>453</v>
      </c>
      <c r="BQ199" s="1" t="s">
        <v>453</v>
      </c>
      <c r="BR199" s="1" t="s">
        <v>453</v>
      </c>
      <c r="BS199" s="1" t="s">
        <v>453</v>
      </c>
      <c r="BT199" s="1" t="s">
        <v>453</v>
      </c>
      <c r="BU199" s="1" t="s">
        <v>453</v>
      </c>
      <c r="BV199" s="1" t="s">
        <v>453</v>
      </c>
      <c r="BW199" s="1" t="s">
        <v>453</v>
      </c>
      <c r="BX199" s="1" t="s">
        <v>453</v>
      </c>
      <c r="BY199" s="1" t="s">
        <v>453</v>
      </c>
    </row>
    <row r="200" spans="1:77">
      <c r="A200" s="1">
        <v>21</v>
      </c>
      <c r="B200" s="1" t="s">
        <v>611</v>
      </c>
      <c r="C200" s="7" t="s">
        <v>358</v>
      </c>
      <c r="D200" s="1" t="s">
        <v>144</v>
      </c>
      <c r="E200" s="1" t="s">
        <v>252</v>
      </c>
      <c r="F200" s="7" t="s">
        <v>427</v>
      </c>
      <c r="G200" s="7" t="s">
        <v>259</v>
      </c>
      <c r="H200" s="10">
        <v>41914455</v>
      </c>
      <c r="I200" s="10">
        <v>42065463</v>
      </c>
      <c r="J200" s="10">
        <v>1047836</v>
      </c>
      <c r="K200" s="48">
        <v>6207599</v>
      </c>
      <c r="L200" s="48">
        <v>281592</v>
      </c>
      <c r="M200" s="48"/>
      <c r="N200" s="48">
        <v>22776758</v>
      </c>
      <c r="O200" s="48">
        <v>2327</v>
      </c>
      <c r="P200" s="48"/>
      <c r="Q200" s="48">
        <v>1463929</v>
      </c>
      <c r="R200" s="10">
        <v>5048604</v>
      </c>
      <c r="S200" s="10">
        <v>3156014</v>
      </c>
      <c r="T200" s="10">
        <v>32675</v>
      </c>
      <c r="U200" s="10">
        <v>0</v>
      </c>
      <c r="V200" s="10">
        <v>40672850</v>
      </c>
      <c r="W200" s="12">
        <v>0.1</v>
      </c>
      <c r="X200" s="10">
        <v>0</v>
      </c>
      <c r="Y200" s="22">
        <f>1558770/40528677</f>
        <v>3.8460914971391737E-2</v>
      </c>
      <c r="Z200" s="10">
        <v>1558674</v>
      </c>
      <c r="AA200" s="10">
        <v>0</v>
      </c>
      <c r="AB200" s="10">
        <f>149937+1640+8749</f>
        <v>160326</v>
      </c>
      <c r="AC200" s="10">
        <v>765910</v>
      </c>
      <c r="AD200" s="10">
        <v>60342</v>
      </c>
      <c r="AE200" s="10">
        <v>224821</v>
      </c>
      <c r="AF200" s="10">
        <v>129603</v>
      </c>
      <c r="AG200" s="10">
        <v>4890</v>
      </c>
      <c r="AH200" s="10">
        <v>26512</v>
      </c>
      <c r="AI200" s="10">
        <v>4545</v>
      </c>
      <c r="AJ200" s="10">
        <v>0</v>
      </c>
      <c r="AK200" s="10">
        <f>34842+57310+57003</f>
        <v>149155</v>
      </c>
      <c r="AL200" s="10">
        <v>13238</v>
      </c>
      <c r="AM200" s="10">
        <v>1661</v>
      </c>
      <c r="AN200" s="10">
        <v>114904</v>
      </c>
      <c r="AO200" s="10">
        <v>0</v>
      </c>
      <c r="AP200" s="10">
        <v>1613525</v>
      </c>
      <c r="AQ200" s="10">
        <v>1663693</v>
      </c>
      <c r="AR200" s="12">
        <f t="shared" si="17"/>
        <v>0</v>
      </c>
      <c r="AS200" s="10">
        <v>0</v>
      </c>
      <c r="AT200" s="10">
        <v>0</v>
      </c>
      <c r="AU200" s="10">
        <v>139662</v>
      </c>
      <c r="AV200" s="10">
        <v>0</v>
      </c>
      <c r="AW200" s="10">
        <v>223827</v>
      </c>
      <c r="AX200" s="10">
        <v>0</v>
      </c>
      <c r="AY200" s="10">
        <v>0</v>
      </c>
      <c r="AZ200" s="10">
        <v>0</v>
      </c>
      <c r="BA200" s="10">
        <v>10374</v>
      </c>
      <c r="BB200" s="10">
        <v>4409</v>
      </c>
      <c r="BC200" s="10">
        <v>35</v>
      </c>
      <c r="BD200" s="10">
        <f>-3-5</f>
        <v>-8</v>
      </c>
      <c r="BE200" s="10">
        <v>-413</v>
      </c>
      <c r="BF200" s="10">
        <v>-2106</v>
      </c>
      <c r="BG200" s="10">
        <v>-1219</v>
      </c>
      <c r="BH200" s="10">
        <v>-2</v>
      </c>
      <c r="BI200" s="10">
        <f t="shared" si="16"/>
        <v>11070</v>
      </c>
      <c r="BJ200" s="1">
        <v>2</v>
      </c>
      <c r="BK200" s="1">
        <v>249</v>
      </c>
      <c r="BL200" s="1">
        <v>74</v>
      </c>
      <c r="BM200" s="1">
        <v>296</v>
      </c>
      <c r="BN200" s="1">
        <v>576</v>
      </c>
      <c r="BO200" s="1">
        <v>24</v>
      </c>
      <c r="BP200" s="1">
        <v>2</v>
      </c>
      <c r="BQ200" s="1">
        <v>4</v>
      </c>
      <c r="BR200" s="1">
        <v>65</v>
      </c>
      <c r="BS200" s="1">
        <v>244</v>
      </c>
      <c r="BT200" s="1">
        <v>4</v>
      </c>
      <c r="BU200" s="1">
        <v>17</v>
      </c>
      <c r="BV200" s="1">
        <v>20</v>
      </c>
      <c r="BW200" s="1">
        <v>241</v>
      </c>
      <c r="BX200" s="1">
        <v>1127</v>
      </c>
      <c r="BY200" s="1">
        <v>36</v>
      </c>
    </row>
    <row r="201" spans="1:77">
      <c r="A201" s="1">
        <v>21</v>
      </c>
      <c r="B201" s="1" t="s">
        <v>612</v>
      </c>
      <c r="C201" s="7" t="s">
        <v>645</v>
      </c>
      <c r="D201" s="1" t="s">
        <v>89</v>
      </c>
      <c r="E201" s="1" t="s">
        <v>237</v>
      </c>
      <c r="F201" s="7" t="s">
        <v>427</v>
      </c>
      <c r="G201" s="7" t="s">
        <v>239</v>
      </c>
      <c r="H201" s="10">
        <v>36141018</v>
      </c>
      <c r="I201" s="10">
        <v>36246076</v>
      </c>
      <c r="J201" s="10">
        <v>2667753</v>
      </c>
      <c r="K201" s="48">
        <v>0</v>
      </c>
      <c r="L201" s="48">
        <v>0</v>
      </c>
      <c r="M201" s="48">
        <v>0</v>
      </c>
      <c r="N201" s="48">
        <v>10174730</v>
      </c>
      <c r="O201" s="48">
        <v>0</v>
      </c>
      <c r="P201" s="48">
        <v>0</v>
      </c>
      <c r="Q201" s="48">
        <v>3312432</v>
      </c>
      <c r="R201" s="10">
        <v>16034138</v>
      </c>
      <c r="S201" s="10">
        <v>965587</v>
      </c>
      <c r="T201" s="10">
        <v>121263</v>
      </c>
      <c r="U201" s="10">
        <v>0</v>
      </c>
      <c r="V201" s="10">
        <v>32205687</v>
      </c>
      <c r="W201" s="12">
        <v>0.19170000000000001</v>
      </c>
      <c r="X201" s="10">
        <v>0</v>
      </c>
      <c r="Y201" s="22">
        <f>1604221/32084424</f>
        <v>4.9999993766445677E-2</v>
      </c>
      <c r="Z201" s="10">
        <v>1597537</v>
      </c>
      <c r="AA201" s="10">
        <v>0</v>
      </c>
      <c r="AB201" s="10">
        <f>105058+2835</f>
        <v>107893</v>
      </c>
      <c r="AC201" s="10">
        <v>844501</v>
      </c>
      <c r="AD201" s="10">
        <v>67001</v>
      </c>
      <c r="AE201" s="10">
        <v>178330</v>
      </c>
      <c r="AF201" s="10">
        <f>122058+9119</f>
        <v>131177</v>
      </c>
      <c r="AG201" s="10">
        <v>0</v>
      </c>
      <c r="AH201" s="10">
        <v>51722</v>
      </c>
      <c r="AI201" s="10">
        <v>390</v>
      </c>
      <c r="AJ201" s="10">
        <v>118037</v>
      </c>
      <c r="AK201" s="10">
        <f>34021+59596+33761</f>
        <v>127378</v>
      </c>
      <c r="AL201" s="10">
        <v>10888</v>
      </c>
      <c r="AM201" s="10">
        <v>0</v>
      </c>
      <c r="AN201" s="10">
        <v>39794</v>
      </c>
      <c r="AO201" s="10">
        <v>5999</v>
      </c>
      <c r="AP201" s="10">
        <v>1634578</v>
      </c>
      <c r="AQ201" s="10">
        <v>1652341</v>
      </c>
      <c r="AR201" s="12">
        <f t="shared" si="17"/>
        <v>3.6700604070286033E-3</v>
      </c>
      <c r="AS201" s="10">
        <v>0</v>
      </c>
      <c r="AT201" s="10">
        <v>0</v>
      </c>
      <c r="AU201" s="10">
        <v>139662</v>
      </c>
      <c r="AV201" s="10">
        <v>0</v>
      </c>
      <c r="AW201" s="10">
        <v>186868</v>
      </c>
      <c r="AX201" s="10">
        <v>0</v>
      </c>
      <c r="AY201" s="10">
        <v>0</v>
      </c>
      <c r="AZ201" s="10">
        <v>0</v>
      </c>
      <c r="BA201" s="10">
        <v>9858</v>
      </c>
      <c r="BB201" s="10">
        <v>5861</v>
      </c>
      <c r="BC201" s="10">
        <v>0</v>
      </c>
      <c r="BD201" s="10">
        <f>1+75-2</f>
        <v>74</v>
      </c>
      <c r="BE201" s="10">
        <v>-428</v>
      </c>
      <c r="BF201" s="10">
        <v>-3456</v>
      </c>
      <c r="BG201" s="10">
        <v>-1136</v>
      </c>
      <c r="BH201" s="10">
        <v>-2</v>
      </c>
      <c r="BI201" s="10">
        <f t="shared" si="16"/>
        <v>10771</v>
      </c>
      <c r="BJ201" s="1">
        <v>0</v>
      </c>
      <c r="BK201" s="1">
        <v>197</v>
      </c>
      <c r="BL201" s="1">
        <v>135</v>
      </c>
      <c r="BM201" s="1">
        <v>741</v>
      </c>
      <c r="BN201" s="1">
        <v>2</v>
      </c>
      <c r="BO201" s="1">
        <v>55</v>
      </c>
      <c r="BP201" s="1">
        <v>0</v>
      </c>
      <c r="BQ201" s="1">
        <v>2</v>
      </c>
      <c r="BR201" s="1">
        <v>59</v>
      </c>
      <c r="BS201" s="1">
        <v>52</v>
      </c>
      <c r="BT201" s="1">
        <v>7</v>
      </c>
      <c r="BU201" s="1">
        <v>15</v>
      </c>
      <c r="BV201" s="1">
        <v>16</v>
      </c>
      <c r="BW201" s="1">
        <v>236</v>
      </c>
      <c r="BX201" s="1">
        <v>446</v>
      </c>
      <c r="BY201" s="1">
        <v>100</v>
      </c>
    </row>
    <row r="202" spans="1:77">
      <c r="A202" s="1">
        <v>21</v>
      </c>
      <c r="B202" s="1" t="s">
        <v>648</v>
      </c>
      <c r="C202" s="7" t="s">
        <v>549</v>
      </c>
      <c r="D202" s="1" t="s">
        <v>51</v>
      </c>
      <c r="E202" s="1" t="s">
        <v>252</v>
      </c>
      <c r="F202" s="7" t="s">
        <v>478</v>
      </c>
      <c r="G202" s="7" t="s">
        <v>259</v>
      </c>
      <c r="H202" s="10">
        <v>86746292</v>
      </c>
      <c r="I202" s="10">
        <v>87204612</v>
      </c>
      <c r="J202" s="10">
        <v>2406797</v>
      </c>
      <c r="K202" s="48">
        <v>51400</v>
      </c>
      <c r="L202" s="48">
        <v>0</v>
      </c>
      <c r="M202" s="48">
        <v>55531283</v>
      </c>
      <c r="N202" s="48">
        <v>0</v>
      </c>
      <c r="O202" s="48">
        <v>0</v>
      </c>
      <c r="P202" s="48">
        <v>2928414</v>
      </c>
      <c r="Q202" s="48">
        <v>0</v>
      </c>
      <c r="R202" s="10">
        <v>14414310</v>
      </c>
      <c r="S202" s="10">
        <v>8056192</v>
      </c>
      <c r="T202" s="10">
        <v>10065</v>
      </c>
      <c r="U202" s="10">
        <v>0</v>
      </c>
      <c r="V202" s="10">
        <v>83767415</v>
      </c>
      <c r="W202" s="12">
        <v>0.12</v>
      </c>
      <c r="X202" s="10">
        <v>0</v>
      </c>
      <c r="Y202" s="22">
        <f>2213677/83757350</f>
        <v>2.6429644681929407E-2</v>
      </c>
      <c r="Z202" s="10">
        <v>2213108</v>
      </c>
      <c r="AA202" s="10">
        <v>0</v>
      </c>
      <c r="AB202" s="10">
        <f>458320+29915</f>
        <v>488235</v>
      </c>
      <c r="AC202" s="10">
        <v>1278841</v>
      </c>
      <c r="AD202" s="10">
        <v>91504</v>
      </c>
      <c r="AE202" s="10">
        <v>325106</v>
      </c>
      <c r="AF202" s="10">
        <v>213039</v>
      </c>
      <c r="AG202" s="10">
        <v>3195</v>
      </c>
      <c r="AH202" s="10">
        <v>23613</v>
      </c>
      <c r="AI202" s="10">
        <v>3041</v>
      </c>
      <c r="AJ202" s="10">
        <v>0</v>
      </c>
      <c r="AK202" s="10">
        <f>27081+82064+66329</f>
        <v>175474</v>
      </c>
      <c r="AL202" s="10">
        <v>16513</v>
      </c>
      <c r="AM202" s="10">
        <v>0</v>
      </c>
      <c r="AN202" s="10">
        <v>158987</v>
      </c>
      <c r="AO202" s="10">
        <v>0</v>
      </c>
      <c r="AP202" s="10">
        <v>2477324</v>
      </c>
      <c r="AQ202" s="10">
        <v>2607393</v>
      </c>
      <c r="AR202" s="12">
        <f t="shared" si="17"/>
        <v>0</v>
      </c>
      <c r="AS202" s="10">
        <v>846</v>
      </c>
      <c r="AT202" s="10">
        <v>1000</v>
      </c>
      <c r="AU202" s="10">
        <v>139662</v>
      </c>
      <c r="AV202" s="10">
        <v>0</v>
      </c>
      <c r="AW202" s="10">
        <v>374917</v>
      </c>
      <c r="AX202" s="10">
        <v>0</v>
      </c>
      <c r="AY202" s="10">
        <v>0</v>
      </c>
      <c r="AZ202" s="10">
        <v>0</v>
      </c>
      <c r="BA202" s="10">
        <v>19501</v>
      </c>
      <c r="BB202" s="10">
        <v>10029</v>
      </c>
      <c r="BC202" s="10">
        <v>7</v>
      </c>
      <c r="BD202" s="10">
        <f>3+37-6</f>
        <v>34</v>
      </c>
      <c r="BE202" s="10">
        <v>-1006</v>
      </c>
      <c r="BF202" s="10">
        <v>-6559</v>
      </c>
      <c r="BG202" s="10">
        <v>-2524</v>
      </c>
      <c r="BH202" s="10">
        <v>-6</v>
      </c>
      <c r="BI202" s="10">
        <f t="shared" si="16"/>
        <v>19476</v>
      </c>
      <c r="BJ202" s="1">
        <v>7</v>
      </c>
      <c r="BK202" s="1">
        <v>1156</v>
      </c>
      <c r="BL202" s="1">
        <v>205</v>
      </c>
      <c r="BM202" s="1">
        <v>1035</v>
      </c>
      <c r="BN202" s="1">
        <v>4</v>
      </c>
      <c r="BO202" s="1">
        <v>130</v>
      </c>
      <c r="BP202" s="1">
        <v>9</v>
      </c>
      <c r="BQ202" s="1">
        <v>14</v>
      </c>
      <c r="BR202" s="1">
        <v>159</v>
      </c>
      <c r="BS202" s="1">
        <v>551</v>
      </c>
      <c r="BT202" s="1">
        <v>12</v>
      </c>
      <c r="BU202" s="1">
        <v>74</v>
      </c>
      <c r="BV202" s="1">
        <v>97</v>
      </c>
      <c r="BW202" s="1">
        <v>536</v>
      </c>
      <c r="BX202" s="1">
        <v>3150</v>
      </c>
      <c r="BY202" s="1">
        <v>288</v>
      </c>
    </row>
    <row r="203" spans="1:77">
      <c r="A203" s="1">
        <v>21</v>
      </c>
      <c r="B203" s="1" t="s">
        <v>690</v>
      </c>
      <c r="C203" s="1" t="s">
        <v>375</v>
      </c>
      <c r="D203" s="1" t="s">
        <v>709</v>
      </c>
      <c r="E203" s="1" t="s">
        <v>237</v>
      </c>
      <c r="F203" s="7" t="s">
        <v>427</v>
      </c>
      <c r="G203" s="7" t="s">
        <v>239</v>
      </c>
      <c r="H203" s="10">
        <v>40199531</v>
      </c>
      <c r="I203" s="10">
        <v>40271316</v>
      </c>
      <c r="J203" s="10">
        <v>1079266</v>
      </c>
      <c r="K203" s="48">
        <v>14695244</v>
      </c>
      <c r="L203" s="48">
        <v>864067</v>
      </c>
      <c r="M203" s="48">
        <v>16655594</v>
      </c>
      <c r="N203" s="48">
        <v>0</v>
      </c>
      <c r="O203" s="48">
        <v>0</v>
      </c>
      <c r="P203" s="48">
        <v>0</v>
      </c>
      <c r="Q203" s="48">
        <v>1361918</v>
      </c>
      <c r="R203" s="10">
        <v>2796081</v>
      </c>
      <c r="S203" s="10">
        <v>819786</v>
      </c>
      <c r="T203" s="10">
        <v>161081</v>
      </c>
      <c r="U203" s="10">
        <v>0</v>
      </c>
      <c r="V203" s="10">
        <v>38207832</v>
      </c>
      <c r="W203" s="12">
        <v>0.16</v>
      </c>
      <c r="X203" s="10">
        <v>0</v>
      </c>
      <c r="Y203" s="22">
        <f>742011/31970935</f>
        <v>2.3208923980484148E-2</v>
      </c>
      <c r="Z203" s="10">
        <v>742072</v>
      </c>
      <c r="AA203" s="10">
        <v>0</v>
      </c>
      <c r="AB203" s="10">
        <f>65760+5807+2988</f>
        <v>74555</v>
      </c>
      <c r="AC203" s="10">
        <v>391196</v>
      </c>
      <c r="AD203" s="10">
        <v>29978</v>
      </c>
      <c r="AE203" s="10">
        <v>33326</v>
      </c>
      <c r="AF203" s="10">
        <v>104916</v>
      </c>
      <c r="AG203" s="10">
        <v>4713</v>
      </c>
      <c r="AH203" s="10">
        <v>65260</v>
      </c>
      <c r="AI203" s="10">
        <v>0</v>
      </c>
      <c r="AJ203" s="10">
        <v>0</v>
      </c>
      <c r="AK203" s="10">
        <f>14249+60909+60681</f>
        <v>135839</v>
      </c>
      <c r="AL203" s="10">
        <v>12002</v>
      </c>
      <c r="AM203" s="10">
        <v>5027</v>
      </c>
      <c r="AN203" s="10">
        <v>30794</v>
      </c>
      <c r="AO203" s="10">
        <v>0</v>
      </c>
      <c r="AP203" s="10">
        <v>868242</v>
      </c>
      <c r="AQ203" s="10">
        <v>897167</v>
      </c>
      <c r="AR203" s="12">
        <f t="shared" si="17"/>
        <v>0</v>
      </c>
      <c r="AS203" s="10">
        <v>0</v>
      </c>
      <c r="AT203" s="10">
        <v>0</v>
      </c>
      <c r="AU203" s="10">
        <v>140563</v>
      </c>
      <c r="AV203" s="10">
        <v>901</v>
      </c>
      <c r="AW203" s="10">
        <v>42452</v>
      </c>
      <c r="AX203" s="10">
        <v>0</v>
      </c>
      <c r="AY203" s="10">
        <v>0</v>
      </c>
      <c r="AZ203" s="10">
        <v>0</v>
      </c>
      <c r="BA203" s="10">
        <v>4074</v>
      </c>
      <c r="BB203" s="10">
        <v>2150</v>
      </c>
      <c r="BC203" s="10">
        <v>0</v>
      </c>
      <c r="BD203" s="10">
        <f>2+36-1</f>
        <v>37</v>
      </c>
      <c r="BE203" s="10">
        <v>-326</v>
      </c>
      <c r="BF203" s="10">
        <v>-731</v>
      </c>
      <c r="BG203" s="10">
        <v>-179</v>
      </c>
      <c r="BH203" s="10">
        <v>0</v>
      </c>
      <c r="BI203" s="10">
        <f t="shared" si="16"/>
        <v>5025</v>
      </c>
      <c r="BJ203" s="1">
        <v>0</v>
      </c>
      <c r="BK203" s="1">
        <v>84</v>
      </c>
      <c r="BL203" s="1">
        <v>27</v>
      </c>
      <c r="BM203" s="1">
        <v>122</v>
      </c>
      <c r="BN203" s="1">
        <v>0</v>
      </c>
      <c r="BO203" s="1">
        <v>33</v>
      </c>
      <c r="BP203" s="1">
        <v>11</v>
      </c>
      <c r="BQ203" s="1">
        <v>6</v>
      </c>
      <c r="BR203" s="1">
        <v>96</v>
      </c>
      <c r="BS203" s="1">
        <v>14</v>
      </c>
      <c r="BT203" s="1">
        <v>10</v>
      </c>
      <c r="BU203" s="1">
        <v>41</v>
      </c>
      <c r="BV203" s="1">
        <v>30</v>
      </c>
      <c r="BW203" s="1">
        <v>185</v>
      </c>
      <c r="BX203" s="1">
        <v>27</v>
      </c>
      <c r="BY203" s="1">
        <v>81</v>
      </c>
    </row>
    <row r="204" spans="1:77">
      <c r="A204" s="1">
        <v>21</v>
      </c>
      <c r="B204" s="1" t="s">
        <v>693</v>
      </c>
      <c r="C204" s="7" t="s">
        <v>566</v>
      </c>
      <c r="D204" s="1" t="s">
        <v>249</v>
      </c>
      <c r="E204" s="1" t="s">
        <v>237</v>
      </c>
      <c r="F204" s="7" t="s">
        <v>617</v>
      </c>
      <c r="G204" s="7" t="s">
        <v>239</v>
      </c>
      <c r="H204" s="10">
        <v>42849007</v>
      </c>
      <c r="I204" s="10">
        <v>43016588</v>
      </c>
      <c r="J204" s="10">
        <v>1055719</v>
      </c>
      <c r="K204" s="48">
        <v>21392711</v>
      </c>
      <c r="L204" s="48">
        <v>4797952</v>
      </c>
      <c r="M204" s="48">
        <v>3782320</v>
      </c>
      <c r="N204" s="48">
        <v>0</v>
      </c>
      <c r="O204" s="48">
        <v>150358</v>
      </c>
      <c r="P204" s="48">
        <v>1560282</v>
      </c>
      <c r="Q204" s="48">
        <v>0</v>
      </c>
      <c r="R204" s="10">
        <v>5567014</v>
      </c>
      <c r="S204" s="10">
        <v>2606869</v>
      </c>
      <c r="T204" s="10">
        <v>8228</v>
      </c>
      <c r="U204" s="10">
        <v>0</v>
      </c>
      <c r="V204" s="10">
        <v>41374768</v>
      </c>
      <c r="W204" s="12">
        <v>0.1371</v>
      </c>
      <c r="X204" s="10">
        <v>0</v>
      </c>
      <c r="Y204" s="22">
        <f>1508931/41366540</f>
        <v>3.647708993790634E-2</v>
      </c>
      <c r="Z204" s="10">
        <v>1508931</v>
      </c>
      <c r="AA204" s="10">
        <v>0</v>
      </c>
      <c r="AB204" s="10">
        <f>152814+12618+4560</f>
        <v>169992</v>
      </c>
      <c r="AC204" s="10">
        <v>792602</v>
      </c>
      <c r="AD204" s="10">
        <v>65358</v>
      </c>
      <c r="AE204" s="10">
        <v>144273</v>
      </c>
      <c r="AF204" s="10">
        <f>144217+7797</f>
        <v>152014</v>
      </c>
      <c r="AG204" s="10">
        <v>3797</v>
      </c>
      <c r="AH204" s="10">
        <v>22520</v>
      </c>
      <c r="AI204" s="10">
        <v>2610</v>
      </c>
      <c r="AJ204" s="10">
        <v>19997</v>
      </c>
      <c r="AK204" s="10">
        <f>37019+44709+42595</f>
        <v>124323</v>
      </c>
      <c r="AL204" s="10">
        <v>14376</v>
      </c>
      <c r="AM204" s="10">
        <v>905</v>
      </c>
      <c r="AN204" s="10">
        <v>43262</v>
      </c>
      <c r="AO204" s="10">
        <v>0</v>
      </c>
      <c r="AP204" s="10">
        <v>1488376</v>
      </c>
      <c r="AQ204" s="10">
        <v>1534256</v>
      </c>
      <c r="AR204" s="12">
        <f t="shared" si="17"/>
        <v>0</v>
      </c>
      <c r="AS204" s="10">
        <v>901</v>
      </c>
      <c r="AT204" s="10">
        <v>0</v>
      </c>
      <c r="AU204" s="10">
        <v>139660</v>
      </c>
      <c r="AV204" s="10">
        <v>0</v>
      </c>
      <c r="AW204" s="10">
        <v>227580</v>
      </c>
      <c r="AX204" s="10">
        <v>0</v>
      </c>
      <c r="AY204" s="10">
        <v>0</v>
      </c>
      <c r="AZ204" s="10">
        <v>0</v>
      </c>
      <c r="BA204" s="10">
        <v>5042</v>
      </c>
      <c r="BB204" s="10">
        <v>3324</v>
      </c>
      <c r="BC204" s="10">
        <v>0</v>
      </c>
      <c r="BD204" s="10">
        <v>51</v>
      </c>
      <c r="BE204" s="10">
        <v>-241</v>
      </c>
      <c r="BF204" s="10">
        <v>-2017</v>
      </c>
      <c r="BG204" s="10">
        <v>-592</v>
      </c>
      <c r="BH204" s="10">
        <v>-1</v>
      </c>
      <c r="BI204" s="10">
        <f t="shared" ref="BI204:BI235" si="18">SUM(BA204:BH204)</f>
        <v>5566</v>
      </c>
      <c r="BJ204" s="1">
        <v>13</v>
      </c>
      <c r="BK204" s="1">
        <v>87</v>
      </c>
      <c r="BL204" s="1">
        <v>44</v>
      </c>
      <c r="BM204" s="1">
        <v>397</v>
      </c>
      <c r="BN204" s="1">
        <v>5</v>
      </c>
      <c r="BO204" s="1">
        <v>59</v>
      </c>
      <c r="BP204" s="1" t="s">
        <v>453</v>
      </c>
      <c r="BQ204" s="1" t="s">
        <v>453</v>
      </c>
      <c r="BR204" s="1" t="s">
        <v>453</v>
      </c>
      <c r="BS204" s="1" t="s">
        <v>453</v>
      </c>
      <c r="BT204" s="1" t="s">
        <v>453</v>
      </c>
      <c r="BU204" s="1" t="s">
        <v>453</v>
      </c>
      <c r="BV204" s="1" t="s">
        <v>453</v>
      </c>
      <c r="BW204" s="1" t="s">
        <v>453</v>
      </c>
      <c r="BX204" s="1" t="s">
        <v>453</v>
      </c>
      <c r="BY204" s="1" t="s">
        <v>453</v>
      </c>
    </row>
    <row r="205" spans="1:77">
      <c r="W205" s="24"/>
      <c r="Y205" s="26"/>
      <c r="AR205" s="26"/>
    </row>
    <row r="209" spans="4:44">
      <c r="W209" s="24"/>
      <c r="Y209" s="26"/>
      <c r="AR209" s="26"/>
    </row>
    <row r="211" spans="4:44">
      <c r="D211" s="9"/>
      <c r="W211" s="24"/>
      <c r="Y211" s="26"/>
      <c r="AR211" s="29"/>
    </row>
    <row r="212" spans="4:44">
      <c r="W212" s="24"/>
      <c r="Y212" s="26"/>
      <c r="AR212" s="29"/>
    </row>
    <row r="213" spans="4:44">
      <c r="W213" s="24"/>
      <c r="Y213" s="26"/>
      <c r="AR213" s="29"/>
    </row>
    <row r="214" spans="4:44">
      <c r="W214" s="24"/>
      <c r="Y214" s="26"/>
    </row>
    <row r="215" spans="4:44">
      <c r="W215" s="24"/>
      <c r="Y215" s="26"/>
    </row>
  </sheetData>
  <pageMargins left="0.75" right="0.75" top="1" bottom="1" header="0.5" footer="0.5"/>
  <headerFooter>
    <oddHeader>&amp;L&amp;"Arial"&amp;10CHAPTER 13 STANDING TRUSTEE FY00 AUDITED ANNUAL REPORTS</oddHeader>
    <oddFooter>&amp;L&amp;"Arial"&amp;10&amp;D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ColWidth="8" defaultRowHeight="15"/>
  <sheetData>
    <row r="1" spans="1:2">
      <c r="A1" t="s">
        <v>10</v>
      </c>
      <c r="B1" t="s">
        <v>11</v>
      </c>
    </row>
  </sheetData>
  <pageMargins left="0.75" right="0.75" top="1" bottom="1" header="0.5" footer="0.5"/>
  <headerFooter>
    <oddHeader>&amp;L&amp;"Arial"&amp;10CHAPTER 13 STANDING TRUSTEE FY00 AUDITED ANNUAL REPORTS</oddHeader>
    <oddFooter>&amp;L&amp;"Arial"&amp;10&amp;D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37</vt:i4>
      </vt:variant>
    </vt:vector>
  </HeadingPairs>
  <TitlesOfParts>
    <vt:vector size="39" baseType="lpstr">
      <vt:lpstr>A</vt:lpstr>
      <vt:lpstr>B</vt:lpstr>
      <vt:lpstr>_NBSTARTMACRO</vt:lpstr>
      <vt:lpstr>ALLOC2</vt:lpstr>
      <vt:lpstr>ALLOC8</vt:lpstr>
      <vt:lpstr>AUD13</vt:lpstr>
      <vt:lpstr>AUDIT</vt:lpstr>
      <vt:lpstr>AUDIT8</vt:lpstr>
      <vt:lpstr>BU</vt:lpstr>
      <vt:lpstr>CASH</vt:lpstr>
      <vt:lpstr>CASH13</vt:lpstr>
      <vt:lpstr>CASH2</vt:lpstr>
      <vt:lpstr>CASH8</vt:lpstr>
      <vt:lpstr>DATA</vt:lpstr>
      <vt:lpstr>DISB</vt:lpstr>
      <vt:lpstr>DISB13</vt:lpstr>
      <vt:lpstr>DISB8</vt:lpstr>
      <vt:lpstr>DISBTOT8</vt:lpstr>
      <vt:lpstr>ELEVEN</vt:lpstr>
      <vt:lpstr>EN</vt:lpstr>
      <vt:lpstr>EXP</vt:lpstr>
      <vt:lpstr>EXP13</vt:lpstr>
      <vt:lpstr>EXP2</vt:lpstr>
      <vt:lpstr>EXP8</vt:lpstr>
      <vt:lpstr>LO</vt:lpstr>
      <vt:lpstr>LO2</vt:lpstr>
      <vt:lpstr>NAMES</vt:lpstr>
      <vt:lpstr>NINE</vt:lpstr>
      <vt:lpstr>A!Print_Titles</vt:lpstr>
      <vt:lpstr>B!Print_Titles</vt:lpstr>
      <vt:lpstr>RATIO</vt:lpstr>
      <vt:lpstr>REG12</vt:lpstr>
      <vt:lpstr>REG13</vt:lpstr>
      <vt:lpstr>REG17</vt:lpstr>
      <vt:lpstr>SUMDISB</vt:lpstr>
      <vt:lpstr>SUMEXP</vt:lpstr>
      <vt:lpstr>SUMRATIO</vt:lpstr>
      <vt:lpstr>THIRTEEN</vt:lpstr>
      <vt:lpstr>TOTDISB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 Trustee Program</cp:lastModifiedBy>
  <dcterms:created xsi:type="dcterms:W3CDTF">2012-08-29T17:04:20Z</dcterms:created>
  <dcterms:modified xsi:type="dcterms:W3CDTF">2012-08-29T17:04:34Z</dcterms:modified>
</cp:coreProperties>
</file>