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36" windowHeight="9444"/>
  </bookViews>
  <sheets>
    <sheet name="A" sheetId="1" r:id="rId1"/>
  </sheets>
  <definedNames>
    <definedName name="DISB">A!$H$136:$K$142</definedName>
    <definedName name="NAMES">A!$B$12:$E$180</definedName>
  </definedNames>
  <calcPr calcId="0"/>
</workbook>
</file>

<file path=xl/calcChain.xml><?xml version="1.0" encoding="utf-8"?>
<calcChain xmlns="http://schemas.openxmlformats.org/spreadsheetml/2006/main">
  <c r="F9" i="1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F10"/>
  <c r="G10"/>
  <c r="H10"/>
  <c r="I10"/>
  <c r="J10"/>
  <c r="K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G10"/>
  <c r="AH10"/>
  <c r="AI10"/>
  <c r="AJ10"/>
  <c r="AK10"/>
  <c r="AL10"/>
  <c r="AM10"/>
  <c r="AN10"/>
  <c r="AO10"/>
  <c r="AP10"/>
  <c r="M12"/>
  <c r="Y12"/>
  <c r="AF12"/>
  <c r="M13"/>
  <c r="T13"/>
  <c r="Y13"/>
  <c r="AF13"/>
  <c r="M14"/>
  <c r="T14"/>
  <c r="Y14"/>
  <c r="AF14"/>
  <c r="M15"/>
  <c r="T15"/>
  <c r="Y15"/>
  <c r="AF15"/>
  <c r="M16"/>
  <c r="T16"/>
  <c r="Y16"/>
  <c r="AF16"/>
  <c r="M17"/>
  <c r="T17"/>
  <c r="Y17"/>
  <c r="AF17"/>
  <c r="M18"/>
  <c r="Y18"/>
  <c r="AF18"/>
  <c r="M19"/>
  <c r="T19"/>
  <c r="Y19"/>
  <c r="AA19"/>
  <c r="AF19"/>
  <c r="M20"/>
  <c r="Y20"/>
  <c r="AF20"/>
  <c r="M21"/>
  <c r="Y21"/>
  <c r="AA21"/>
  <c r="AF21"/>
  <c r="M22"/>
  <c r="T22"/>
  <c r="Y22"/>
  <c r="AF22"/>
  <c r="M23"/>
  <c r="Y23"/>
  <c r="AF23"/>
  <c r="M24"/>
  <c r="Y24"/>
  <c r="AF24"/>
  <c r="Y25"/>
  <c r="AA25"/>
  <c r="AF25"/>
  <c r="M26"/>
  <c r="Y26"/>
  <c r="AF26"/>
  <c r="M27"/>
  <c r="Y27"/>
  <c r="AF27"/>
  <c r="M28"/>
  <c r="T28"/>
  <c r="Y28"/>
  <c r="AF28"/>
  <c r="M29"/>
  <c r="T29"/>
  <c r="Y29"/>
  <c r="AA29"/>
  <c r="AF29"/>
  <c r="M30"/>
  <c r="Y30"/>
  <c r="AF30"/>
  <c r="M31"/>
  <c r="T31"/>
  <c r="Y31"/>
  <c r="AF31"/>
  <c r="Y32"/>
  <c r="AF32"/>
  <c r="M33"/>
  <c r="Y33"/>
  <c r="AF33"/>
  <c r="M34"/>
  <c r="T34"/>
  <c r="Y34"/>
  <c r="AF34"/>
  <c r="M35"/>
  <c r="T35"/>
  <c r="Y35"/>
  <c r="AA35"/>
  <c r="AF35"/>
  <c r="M36"/>
  <c r="Y36"/>
  <c r="AF36"/>
  <c r="M37"/>
  <c r="Y37"/>
  <c r="AF37"/>
  <c r="M38"/>
  <c r="Y38"/>
  <c r="AF38"/>
  <c r="M39"/>
  <c r="T39"/>
  <c r="Y39"/>
  <c r="AF39"/>
  <c r="M40"/>
  <c r="Y40"/>
  <c r="AF40"/>
  <c r="M41"/>
  <c r="T41"/>
  <c r="Y41"/>
  <c r="AA41"/>
  <c r="AF41"/>
  <c r="M42"/>
  <c r="Y42"/>
  <c r="AF42"/>
  <c r="M43"/>
  <c r="T43"/>
  <c r="Y43"/>
  <c r="AF43"/>
  <c r="M44"/>
  <c r="Y44"/>
  <c r="AF44"/>
  <c r="M45"/>
  <c r="Y45"/>
  <c r="AA45"/>
  <c r="AF45"/>
  <c r="M46"/>
  <c r="Y46"/>
  <c r="AF46"/>
  <c r="M47"/>
  <c r="T47"/>
  <c r="Y47"/>
  <c r="AF47"/>
  <c r="M48"/>
  <c r="Y48"/>
  <c r="AA48"/>
  <c r="AF48"/>
  <c r="M49"/>
  <c r="T49"/>
  <c r="Y49"/>
  <c r="AF49"/>
  <c r="M50"/>
  <c r="Y50"/>
  <c r="AA50"/>
  <c r="AF50"/>
  <c r="M51"/>
  <c r="Y51"/>
  <c r="AA51"/>
  <c r="AF51"/>
  <c r="M52"/>
  <c r="Y52"/>
  <c r="AF52"/>
  <c r="M53"/>
  <c r="T53"/>
  <c r="Y53"/>
  <c r="AA53"/>
  <c r="AF53"/>
  <c r="M54"/>
  <c r="S54"/>
  <c r="Y54"/>
  <c r="AA54"/>
  <c r="AF54"/>
  <c r="M55"/>
  <c r="T55"/>
  <c r="Y55"/>
  <c r="AF55"/>
  <c r="M56"/>
  <c r="Y56"/>
  <c r="AF56"/>
  <c r="M57"/>
  <c r="T57"/>
  <c r="Y57"/>
  <c r="AF57"/>
  <c r="M58"/>
  <c r="T58"/>
  <c r="Y58"/>
  <c r="AA58"/>
  <c r="AF58"/>
  <c r="M59"/>
  <c r="Y59"/>
  <c r="AA59"/>
  <c r="AF59"/>
  <c r="M60"/>
  <c r="Y60"/>
  <c r="AA60"/>
  <c r="AF60"/>
  <c r="M61"/>
  <c r="T61"/>
  <c r="Y61"/>
  <c r="AA61"/>
  <c r="AF61"/>
  <c r="M62"/>
  <c r="Y62"/>
  <c r="AF62"/>
  <c r="M63"/>
  <c r="Y63"/>
  <c r="AA63"/>
  <c r="AF63"/>
  <c r="M64"/>
  <c r="T64"/>
  <c r="Y64"/>
  <c r="AF64"/>
  <c r="M65"/>
  <c r="Y65"/>
  <c r="AF65"/>
  <c r="M66"/>
  <c r="Y66"/>
  <c r="AA66"/>
  <c r="AF66"/>
  <c r="M67"/>
  <c r="T67"/>
  <c r="Y67"/>
  <c r="AA67"/>
  <c r="M68"/>
  <c r="T68"/>
  <c r="Y68"/>
  <c r="AF68"/>
  <c r="M69"/>
  <c r="T69"/>
  <c r="Y69"/>
  <c r="AF69"/>
  <c r="M70"/>
  <c r="Y70"/>
  <c r="AF70"/>
  <c r="M71"/>
  <c r="Y71"/>
  <c r="AA71"/>
  <c r="AF71"/>
  <c r="M72"/>
  <c r="T72"/>
  <c r="Y72"/>
  <c r="AA72"/>
  <c r="AF72"/>
  <c r="M73"/>
  <c r="Y73"/>
  <c r="AF73"/>
  <c r="M74"/>
  <c r="Y74"/>
  <c r="AF74"/>
  <c r="M75"/>
  <c r="Y75"/>
  <c r="AF75"/>
  <c r="M76"/>
  <c r="Y76"/>
  <c r="AF76"/>
  <c r="M77"/>
  <c r="Y77"/>
  <c r="AA77"/>
  <c r="AF77"/>
  <c r="M78"/>
  <c r="Y78"/>
  <c r="AF78"/>
  <c r="M79"/>
  <c r="Y79"/>
  <c r="AA79"/>
  <c r="AF79"/>
  <c r="M80"/>
  <c r="T80"/>
  <c r="Y80"/>
  <c r="AF80"/>
  <c r="M81"/>
  <c r="Y81"/>
  <c r="AF81"/>
  <c r="M82"/>
  <c r="T82"/>
  <c r="Y82"/>
  <c r="AF82"/>
  <c r="M83"/>
  <c r="T83"/>
  <c r="Y83"/>
  <c r="AF83"/>
  <c r="M84"/>
  <c r="T84"/>
  <c r="Y84"/>
  <c r="AF84"/>
  <c r="M85"/>
  <c r="T85"/>
  <c r="Y85"/>
  <c r="AF85"/>
  <c r="M86"/>
  <c r="T86"/>
  <c r="Y86"/>
  <c r="AF86"/>
  <c r="M87"/>
  <c r="T87"/>
  <c r="Y87"/>
  <c r="AF87"/>
  <c r="M88"/>
  <c r="T88"/>
  <c r="Y88"/>
  <c r="AF88"/>
  <c r="M89"/>
  <c r="Y89"/>
  <c r="AF89"/>
  <c r="M90"/>
  <c r="Y90"/>
  <c r="AA90"/>
  <c r="AF90"/>
  <c r="M91"/>
  <c r="T91"/>
  <c r="Y91"/>
  <c r="AF91"/>
  <c r="M92"/>
  <c r="Y92"/>
  <c r="AF92"/>
  <c r="M93"/>
  <c r="T93"/>
  <c r="Y93"/>
  <c r="AF93"/>
  <c r="M94"/>
  <c r="T94"/>
  <c r="Y94"/>
  <c r="AF94"/>
  <c r="M95"/>
  <c r="Y95"/>
  <c r="AF95"/>
  <c r="M96"/>
  <c r="Y96"/>
  <c r="AF96"/>
  <c r="M97"/>
  <c r="T97"/>
  <c r="Y97"/>
  <c r="AA97"/>
  <c r="AF97"/>
  <c r="Y98"/>
  <c r="AF98"/>
  <c r="M99"/>
  <c r="T99"/>
  <c r="Y99"/>
  <c r="AA99"/>
  <c r="AF99"/>
  <c r="M100"/>
  <c r="T100"/>
  <c r="Y100"/>
  <c r="AF100"/>
  <c r="M101"/>
  <c r="T101"/>
  <c r="Y101"/>
  <c r="AF101"/>
  <c r="M102"/>
  <c r="T102"/>
  <c r="Y102"/>
  <c r="AF102"/>
  <c r="H103"/>
  <c r="M103"/>
  <c r="T103"/>
  <c r="Y103"/>
  <c r="AF103"/>
  <c r="M104"/>
  <c r="Y104"/>
  <c r="AA104"/>
  <c r="AF104"/>
  <c r="M105"/>
  <c r="T105"/>
  <c r="Y105"/>
  <c r="AA105"/>
  <c r="AF105"/>
  <c r="M106"/>
  <c r="T106"/>
  <c r="Y106"/>
  <c r="AA106"/>
  <c r="AF106"/>
  <c r="M107"/>
  <c r="T107"/>
  <c r="Y107"/>
  <c r="AF107"/>
  <c r="M108"/>
  <c r="T108"/>
  <c r="Y108"/>
  <c r="AF108"/>
  <c r="M109"/>
  <c r="T109"/>
  <c r="Y109"/>
  <c r="AA109"/>
  <c r="AF109"/>
  <c r="M110"/>
  <c r="T110"/>
  <c r="Y110"/>
  <c r="AF110"/>
  <c r="M111"/>
  <c r="Y111"/>
  <c r="AF111"/>
  <c r="T112"/>
  <c r="Y112"/>
  <c r="AA112"/>
  <c r="M113"/>
  <c r="T113"/>
  <c r="Y113"/>
  <c r="AF113"/>
  <c r="M114"/>
  <c r="T114"/>
  <c r="Y114"/>
  <c r="AA114"/>
  <c r="AF114"/>
  <c r="M115"/>
  <c r="T115"/>
  <c r="Y115"/>
  <c r="AA115"/>
  <c r="AF115"/>
  <c r="T116"/>
  <c r="Y116"/>
  <c r="AF116"/>
  <c r="M117"/>
  <c r="Y117"/>
  <c r="AA117"/>
  <c r="AF117"/>
  <c r="M118"/>
  <c r="Y118"/>
  <c r="AF118"/>
  <c r="M119"/>
  <c r="T119"/>
  <c r="Y119"/>
  <c r="AA119"/>
  <c r="AF119"/>
  <c r="M120"/>
  <c r="Y120"/>
  <c r="AA120"/>
  <c r="AF120"/>
  <c r="M121"/>
  <c r="Y121"/>
  <c r="AA121"/>
  <c r="AF121"/>
  <c r="M122"/>
  <c r="Y122"/>
  <c r="AF122"/>
  <c r="M123"/>
  <c r="T123"/>
  <c r="Y123"/>
  <c r="AA123"/>
  <c r="AF123"/>
  <c r="M124"/>
  <c r="Y124"/>
  <c r="AA124"/>
  <c r="AF124"/>
  <c r="M125"/>
  <c r="Y125"/>
  <c r="AF125"/>
  <c r="M126"/>
  <c r="Y126"/>
  <c r="AA126"/>
  <c r="AF126"/>
  <c r="M127"/>
  <c r="Y127"/>
  <c r="AF127"/>
  <c r="M128"/>
  <c r="T128"/>
  <c r="Y128"/>
  <c r="AF128"/>
  <c r="AF129"/>
  <c r="AG129"/>
  <c r="M130"/>
  <c r="Y130"/>
  <c r="AF130"/>
  <c r="M131"/>
  <c r="T131"/>
  <c r="Y131"/>
  <c r="AF131"/>
  <c r="M132"/>
  <c r="Y132"/>
  <c r="AA132"/>
  <c r="AF132"/>
  <c r="M133"/>
  <c r="Y133"/>
  <c r="AA133"/>
  <c r="AF133"/>
  <c r="M134"/>
  <c r="Y134"/>
  <c r="AF134"/>
  <c r="M135"/>
  <c r="Y135"/>
  <c r="AF135"/>
  <c r="M136"/>
  <c r="Y136"/>
  <c r="AA136"/>
  <c r="AF136"/>
  <c r="M137"/>
  <c r="T137"/>
  <c r="Y137"/>
  <c r="AA137"/>
  <c r="AF137"/>
  <c r="M138"/>
  <c r="Y138"/>
  <c r="AF138"/>
  <c r="M139"/>
  <c r="T139"/>
  <c r="Y139"/>
  <c r="AA139"/>
  <c r="AF139"/>
  <c r="M140"/>
  <c r="Y140"/>
  <c r="AF140"/>
  <c r="M141"/>
  <c r="T141"/>
  <c r="Y141"/>
  <c r="AA141"/>
  <c r="AF141"/>
  <c r="M142"/>
  <c r="Y142"/>
  <c r="AA142"/>
  <c r="AF142"/>
  <c r="Y143"/>
  <c r="AF143"/>
  <c r="H144"/>
  <c r="I144"/>
  <c r="J144"/>
  <c r="M144"/>
  <c r="T144"/>
  <c r="Y144"/>
  <c r="AA144"/>
  <c r="AF144"/>
  <c r="M145"/>
  <c r="Y145"/>
  <c r="AF145"/>
  <c r="M146"/>
  <c r="T146"/>
  <c r="Y146"/>
  <c r="AA146"/>
  <c r="AF146"/>
  <c r="H147"/>
  <c r="J147"/>
  <c r="M147"/>
  <c r="Y147"/>
  <c r="AF147"/>
  <c r="H148"/>
  <c r="I148"/>
  <c r="J148"/>
  <c r="M148"/>
  <c r="Y148"/>
  <c r="AF148"/>
  <c r="T149"/>
  <c r="Y149"/>
  <c r="AA149"/>
  <c r="H150"/>
  <c r="M150"/>
  <c r="Y150"/>
  <c r="AA150"/>
  <c r="AF150"/>
  <c r="H151"/>
  <c r="M151"/>
  <c r="Y151"/>
  <c r="AA151"/>
  <c r="AF151"/>
  <c r="H152"/>
  <c r="M152"/>
  <c r="T152"/>
  <c r="Y152"/>
  <c r="AF152"/>
  <c r="H153"/>
  <c r="M153"/>
  <c r="T153"/>
  <c r="Y153"/>
  <c r="AF153"/>
  <c r="Y154"/>
  <c r="M155"/>
  <c r="T155"/>
  <c r="Y155"/>
  <c r="AF155"/>
  <c r="M156"/>
  <c r="Y156"/>
  <c r="AA156"/>
  <c r="AF156"/>
  <c r="H157"/>
  <c r="M157"/>
  <c r="T157"/>
  <c r="Y157"/>
  <c r="AF157"/>
  <c r="F158"/>
  <c r="M158"/>
  <c r="Y158"/>
  <c r="AA158"/>
  <c r="AF158"/>
  <c r="M159"/>
  <c r="Y159"/>
  <c r="AF159"/>
  <c r="M160"/>
  <c r="Y160"/>
  <c r="AF160"/>
  <c r="M161"/>
  <c r="Y161"/>
  <c r="AA161"/>
  <c r="AF161"/>
  <c r="M162"/>
  <c r="Y162"/>
  <c r="AF162"/>
  <c r="M163"/>
  <c r="Y163"/>
  <c r="AF163"/>
  <c r="M164"/>
  <c r="T164"/>
  <c r="Y164"/>
  <c r="AA164"/>
  <c r="AF164"/>
  <c r="M165"/>
  <c r="Y165"/>
  <c r="AF165"/>
  <c r="M166"/>
  <c r="T166"/>
  <c r="Y166"/>
  <c r="AF166"/>
  <c r="M167"/>
  <c r="Y167"/>
  <c r="AA167"/>
  <c r="AF167"/>
  <c r="M168"/>
  <c r="T168"/>
  <c r="Y168"/>
  <c r="AA168"/>
  <c r="AF168"/>
  <c r="M169"/>
  <c r="Y169"/>
  <c r="AA169"/>
  <c r="AF169"/>
  <c r="M170"/>
  <c r="T170"/>
  <c r="Y170"/>
  <c r="AA170"/>
  <c r="AF170"/>
  <c r="M171"/>
  <c r="T171"/>
  <c r="Y171"/>
  <c r="AF171"/>
  <c r="M172"/>
  <c r="Y172"/>
  <c r="AF172"/>
  <c r="M173"/>
  <c r="Y173"/>
  <c r="AA173"/>
  <c r="AF173"/>
  <c r="M174"/>
  <c r="T174"/>
  <c r="Y174"/>
  <c r="AF174"/>
  <c r="M175"/>
  <c r="Y175"/>
  <c r="AF175"/>
  <c r="M176"/>
  <c r="Y176"/>
  <c r="AF176"/>
  <c r="M177"/>
  <c r="Y177"/>
  <c r="AA177"/>
  <c r="AF177"/>
  <c r="M178"/>
  <c r="T178"/>
  <c r="Y178"/>
  <c r="AA178"/>
  <c r="AF178"/>
  <c r="M179"/>
  <c r="Y179"/>
  <c r="AA179"/>
  <c r="AF179"/>
  <c r="M180"/>
  <c r="Y180"/>
  <c r="AF180"/>
</calcChain>
</file>

<file path=xl/sharedStrings.xml><?xml version="1.0" encoding="utf-8"?>
<sst xmlns="http://schemas.openxmlformats.org/spreadsheetml/2006/main" count="788" uniqueCount="557">
  <si>
    <t xml:space="preserve"> </t>
  </si>
  <si>
    <t xml:space="preserve">  </t>
  </si>
  <si>
    <t xml:space="preserve">            EMPLOYEE EXPENSES</t>
  </si>
  <si>
    <t># MONTHS</t>
  </si>
  <si>
    <t>#CASES</t>
  </si>
  <si>
    <t>$ FEES</t>
  </si>
  <si>
    <t>% EXP.</t>
  </si>
  <si>
    <t>% FEE</t>
  </si>
  <si>
    <t>&gt; 60 MOS.</t>
  </si>
  <si>
    <t>ACCTG</t>
  </si>
  <si>
    <t>ACCUM.</t>
  </si>
  <si>
    <t>ACTUAL</t>
  </si>
  <si>
    <t>Aikman</t>
  </si>
  <si>
    <t>AK</t>
  </si>
  <si>
    <t>Akron</t>
  </si>
  <si>
    <t>Albany</t>
  </si>
  <si>
    <t>Albert</t>
  </si>
  <si>
    <t>Albuquerque</t>
  </si>
  <si>
    <t>Alexandria</t>
  </si>
  <si>
    <t>ALLOC.</t>
  </si>
  <si>
    <t>ALLOC.\</t>
  </si>
  <si>
    <t>ALLOWED</t>
  </si>
  <si>
    <t>Amherst</t>
  </si>
  <si>
    <t>Anabelle</t>
  </si>
  <si>
    <t>Anchorage</t>
  </si>
  <si>
    <t>Ann</t>
  </si>
  <si>
    <t>Ann K.</t>
  </si>
  <si>
    <t>Annette</t>
  </si>
  <si>
    <t>Anthony</t>
  </si>
  <si>
    <t>APPLIED</t>
  </si>
  <si>
    <t>AR</t>
  </si>
  <si>
    <t>Armane</t>
  </si>
  <si>
    <t>Armstrong</t>
  </si>
  <si>
    <t>Atlanta</t>
  </si>
  <si>
    <t>AUDIT</t>
  </si>
  <si>
    <t>Augusta</t>
  </si>
  <si>
    <t>Austin</t>
  </si>
  <si>
    <t>AVG</t>
  </si>
  <si>
    <t>AZ</t>
  </si>
  <si>
    <t>BALANCE</t>
  </si>
  <si>
    <t>Baltimore</t>
  </si>
  <si>
    <t>Barbara</t>
  </si>
  <si>
    <t>Barkley</t>
  </si>
  <si>
    <t>Barkley, Jr.</t>
  </si>
  <si>
    <t>Barnee</t>
  </si>
  <si>
    <t>Barry</t>
  </si>
  <si>
    <t>Bartholow</t>
  </si>
  <si>
    <t>Baton Rouge</t>
  </si>
  <si>
    <t>Baxter, Jr.</t>
  </si>
  <si>
    <t>Beaulieu</t>
  </si>
  <si>
    <t>BEGINN</t>
  </si>
  <si>
    <t>Bekofske</t>
  </si>
  <si>
    <t>Bell</t>
  </si>
  <si>
    <t>Bellville</t>
  </si>
  <si>
    <t>BENEFITS</t>
  </si>
  <si>
    <t>Benton</t>
  </si>
  <si>
    <t>Bernie</t>
  </si>
  <si>
    <t>Black, Jr.</t>
  </si>
  <si>
    <t>Bobby</t>
  </si>
  <si>
    <t>Boise</t>
  </si>
  <si>
    <t>Bolenbaugh</t>
  </si>
  <si>
    <t>Bone</t>
  </si>
  <si>
    <t>Bonney</t>
  </si>
  <si>
    <t>Boston</t>
  </si>
  <si>
    <t>Boudloche</t>
  </si>
  <si>
    <t>Bowers</t>
  </si>
  <si>
    <t>Bowie</t>
  </si>
  <si>
    <t>Boyajian</t>
  </si>
  <si>
    <t>Bracher</t>
  </si>
  <si>
    <t>Bradenton</t>
  </si>
  <si>
    <t>Brett</t>
  </si>
  <si>
    <t>Bristol</t>
  </si>
  <si>
    <t>Brothers</t>
  </si>
  <si>
    <t>Brown</t>
  </si>
  <si>
    <t>Brunner</t>
  </si>
  <si>
    <t>Brunswick</t>
  </si>
  <si>
    <t>Buffalo</t>
  </si>
  <si>
    <t>Burchard, Jr.</t>
  </si>
  <si>
    <t>Burks</t>
  </si>
  <si>
    <t>Butler, III</t>
  </si>
  <si>
    <t>C. Kenneth</t>
  </si>
  <si>
    <t>CA</t>
  </si>
  <si>
    <t>Calabrese</t>
  </si>
  <si>
    <t>Cameron</t>
  </si>
  <si>
    <t>Camille</t>
  </si>
  <si>
    <t>Canton</t>
  </si>
  <si>
    <t>Carl</t>
  </si>
  <si>
    <t>Carol</t>
  </si>
  <si>
    <t>Carrollton</t>
  </si>
  <si>
    <t>CASES</t>
  </si>
  <si>
    <t>Cecilia</t>
  </si>
  <si>
    <t>Chael</t>
  </si>
  <si>
    <t>CHAPTER  13  STANDING TRUSTEE</t>
  </si>
  <si>
    <t>Charles</t>
  </si>
  <si>
    <t>Charleston</t>
  </si>
  <si>
    <t>Charlottesville</t>
  </si>
  <si>
    <t>Charnock, Jr.</t>
  </si>
  <si>
    <t>Chattanooga</t>
  </si>
  <si>
    <t>Chatterton</t>
  </si>
  <si>
    <t>Cheyenne</t>
  </si>
  <si>
    <t>Chicago</t>
  </si>
  <si>
    <t>Chrystler</t>
  </si>
  <si>
    <t>Cincinnati</t>
  </si>
  <si>
    <t>Cindy</t>
  </si>
  <si>
    <t>CITY</t>
  </si>
  <si>
    <t>Clark</t>
  </si>
  <si>
    <t>Cleveland</t>
  </si>
  <si>
    <t>CO</t>
  </si>
  <si>
    <t>Coeur D'Alene</t>
  </si>
  <si>
    <t>Cohen</t>
  </si>
  <si>
    <t>Columbia</t>
  </si>
  <si>
    <t>Columbus</t>
  </si>
  <si>
    <t>COMP'N</t>
  </si>
  <si>
    <t>Compton</t>
  </si>
  <si>
    <t>COMPUTER</t>
  </si>
  <si>
    <t>CON-</t>
  </si>
  <si>
    <t>CONFS &amp;</t>
  </si>
  <si>
    <t>CONSTR.</t>
  </si>
  <si>
    <t>Corpus Christi</t>
  </si>
  <si>
    <t>Cosby</t>
  </si>
  <si>
    <t>Craig</t>
  </si>
  <si>
    <t>CRED'R</t>
  </si>
  <si>
    <t>Crown Point</t>
  </si>
  <si>
    <t>CT</t>
  </si>
  <si>
    <t>Curry</t>
  </si>
  <si>
    <t>Cynthia</t>
  </si>
  <si>
    <t>Dallas</t>
  </si>
  <si>
    <t>Daniel</t>
  </si>
  <si>
    <t>David</t>
  </si>
  <si>
    <t>Davidson</t>
  </si>
  <si>
    <t>Davis</t>
  </si>
  <si>
    <t>DC</t>
  </si>
  <si>
    <t>DE</t>
  </si>
  <si>
    <t>DEBTORS</t>
  </si>
  <si>
    <t>Decker</t>
  </si>
  <si>
    <t>DEFICIT</t>
  </si>
  <si>
    <t>DeHart, III</t>
  </si>
  <si>
    <t>Denver</t>
  </si>
  <si>
    <t>DeRosa</t>
  </si>
  <si>
    <t>Des Moines</t>
  </si>
  <si>
    <t>DiSalle</t>
  </si>
  <si>
    <t>DISBURS</t>
  </si>
  <si>
    <t>DISBURSE-</t>
  </si>
  <si>
    <t>Donald</t>
  </si>
  <si>
    <t>Dowell</t>
  </si>
  <si>
    <t>Drummond</t>
  </si>
  <si>
    <t>Dunbar</t>
  </si>
  <si>
    <t>Duncan</t>
  </si>
  <si>
    <t>Dunivent</t>
  </si>
  <si>
    <t>Eck</t>
  </si>
  <si>
    <t>Edward</t>
  </si>
  <si>
    <t>Edwina</t>
  </si>
  <si>
    <t>El Paso</t>
  </si>
  <si>
    <t>Ellen</t>
  </si>
  <si>
    <t>Emerson, Jr.</t>
  </si>
  <si>
    <t>END FY93</t>
  </si>
  <si>
    <t>END FY94</t>
  </si>
  <si>
    <t>ENDING</t>
  </si>
  <si>
    <t>Englewood</t>
  </si>
  <si>
    <t>Enmark</t>
  </si>
  <si>
    <t>EQUIP/</t>
  </si>
  <si>
    <t>Eugene</t>
  </si>
  <si>
    <t>Evansville</t>
  </si>
  <si>
    <t>EXCESS</t>
  </si>
  <si>
    <t>EXP FUND</t>
  </si>
  <si>
    <t xml:space="preserve">EXP. FUND </t>
  </si>
  <si>
    <t>EXPENSES</t>
  </si>
  <si>
    <t>Feeding Hills</t>
  </si>
  <si>
    <t>Fessenden</t>
  </si>
  <si>
    <t>Fink</t>
  </si>
  <si>
    <t xml:space="preserve">FIRST NAME </t>
  </si>
  <si>
    <t>Fitzgerald</t>
  </si>
  <si>
    <t>FL</t>
  </si>
  <si>
    <t>Flint</t>
  </si>
  <si>
    <t>Fort Wayne</t>
  </si>
  <si>
    <t>Fort Worth</t>
  </si>
  <si>
    <t>Frank</t>
  </si>
  <si>
    <t>Fred</t>
  </si>
  <si>
    <t>Frederick</t>
  </si>
  <si>
    <t>Fresno</t>
  </si>
  <si>
    <t>Fulton</t>
  </si>
  <si>
    <t>FURN/ADP</t>
  </si>
  <si>
    <t>FY  1994  AUDITED ANNUAL REPORTS</t>
  </si>
  <si>
    <t>G.</t>
  </si>
  <si>
    <t>GA</t>
  </si>
  <si>
    <t>Gaertner</t>
  </si>
  <si>
    <t>Gallaspy</t>
  </si>
  <si>
    <t>Gallo</t>
  </si>
  <si>
    <t>Garden City</t>
  </si>
  <si>
    <t>Gary</t>
  </si>
  <si>
    <t>Geekie</t>
  </si>
  <si>
    <t>Gelberg</t>
  </si>
  <si>
    <t>George</t>
  </si>
  <si>
    <t>Gerald</t>
  </si>
  <si>
    <t>Germeraad</t>
  </si>
  <si>
    <t>Gilbert</t>
  </si>
  <si>
    <t>Grand Rapids</t>
  </si>
  <si>
    <t>Great Falls</t>
  </si>
  <si>
    <t>Griffin</t>
  </si>
  <si>
    <t>Gross</t>
  </si>
  <si>
    <t>GROSS</t>
  </si>
  <si>
    <t>Gulfport</t>
  </si>
  <si>
    <t>Guy</t>
  </si>
  <si>
    <t>Gwendolyn</t>
  </si>
  <si>
    <t>Hallandale</t>
  </si>
  <si>
    <t>Haney</t>
  </si>
  <si>
    <t>Harold</t>
  </si>
  <si>
    <t>Harris</t>
  </si>
  <si>
    <t>Harrisburg</t>
  </si>
  <si>
    <t>Harry</t>
  </si>
  <si>
    <t>Hart</t>
  </si>
  <si>
    <t>Hartford</t>
  </si>
  <si>
    <t>Hattiesburg</t>
  </si>
  <si>
    <t>Heid/Wigfall</t>
  </si>
  <si>
    <t>Heitkamp</t>
  </si>
  <si>
    <t>HELD</t>
  </si>
  <si>
    <t>Helen</t>
  </si>
  <si>
    <t>Hendren, Jr.</t>
  </si>
  <si>
    <t>Henry</t>
  </si>
  <si>
    <t>Herbert</t>
  </si>
  <si>
    <t>HI</t>
  </si>
  <si>
    <t>Hicksville</t>
  </si>
  <si>
    <t>Hildebrand, III</t>
  </si>
  <si>
    <t>Holub</t>
  </si>
  <si>
    <t>Honolulu</t>
  </si>
  <si>
    <t>Hope</t>
  </si>
  <si>
    <t>Houston</t>
  </si>
  <si>
    <t>Howard</t>
  </si>
  <si>
    <t>Howe</t>
  </si>
  <si>
    <t>Hu</t>
  </si>
  <si>
    <t>Huntington</t>
  </si>
  <si>
    <t>Hyman</t>
  </si>
  <si>
    <t>IA</t>
  </si>
  <si>
    <t>ID</t>
  </si>
  <si>
    <t>IL</t>
  </si>
  <si>
    <t>IN</t>
  </si>
  <si>
    <t>IN EXCESS</t>
  </si>
  <si>
    <t>Indianapolis</t>
  </si>
  <si>
    <t>Itule</t>
  </si>
  <si>
    <t>J.</t>
  </si>
  <si>
    <t>Jack</t>
  </si>
  <si>
    <t>Jackson</t>
  </si>
  <si>
    <t>Jacksonville</t>
  </si>
  <si>
    <t>James</t>
  </si>
  <si>
    <t>Jan</t>
  </si>
  <si>
    <t>Jeffrey</t>
  </si>
  <si>
    <t>Jerome</t>
  </si>
  <si>
    <t>Jim</t>
  </si>
  <si>
    <t>Jo</t>
  </si>
  <si>
    <t>John</t>
  </si>
  <si>
    <t>Johnson</t>
  </si>
  <si>
    <t>Jones</t>
  </si>
  <si>
    <t>Joseph</t>
  </si>
  <si>
    <t>Kalamazoo</t>
  </si>
  <si>
    <t>Kansas City</t>
  </si>
  <si>
    <t>Kathleen</t>
  </si>
  <si>
    <t>Kearney</t>
  </si>
  <si>
    <t>Keith</t>
  </si>
  <si>
    <t>Kerney</t>
  </si>
  <si>
    <t>Kester</t>
  </si>
  <si>
    <t>King</t>
  </si>
  <si>
    <t>Kirkwood</t>
  </si>
  <si>
    <t>Knostman</t>
  </si>
  <si>
    <t>Knoxville</t>
  </si>
  <si>
    <t>Kohlhorst</t>
  </si>
  <si>
    <t>Krommenhoek</t>
  </si>
  <si>
    <t>KS</t>
  </si>
  <si>
    <t>KY</t>
  </si>
  <si>
    <t>L.</t>
  </si>
  <si>
    <t>LA</t>
  </si>
  <si>
    <t>LaBarge, Jr.</t>
  </si>
  <si>
    <t>Lackey</t>
  </si>
  <si>
    <t>Lafayette</t>
  </si>
  <si>
    <t>Lansing</t>
  </si>
  <si>
    <t>Laporte</t>
  </si>
  <si>
    <t>Larry</t>
  </si>
  <si>
    <t>Las Vegas</t>
  </si>
  <si>
    <t>LAST NAME</t>
  </si>
  <si>
    <t>Laughlin</t>
  </si>
  <si>
    <t>Laurence</t>
  </si>
  <si>
    <t>Lawrence</t>
  </si>
  <si>
    <t>Ledford</t>
  </si>
  <si>
    <t>Leigh</t>
  </si>
  <si>
    <t>Levin</t>
  </si>
  <si>
    <t>Levy</t>
  </si>
  <si>
    <t>Lexington</t>
  </si>
  <si>
    <t>Littlefield, Jr.</t>
  </si>
  <si>
    <t>Locke</t>
  </si>
  <si>
    <t>Loheit</t>
  </si>
  <si>
    <t>Long</t>
  </si>
  <si>
    <t>Longview</t>
  </si>
  <si>
    <t>Lonnie</t>
  </si>
  <si>
    <t>Los Angeles</t>
  </si>
  <si>
    <t>Louis</t>
  </si>
  <si>
    <t>Louisville</t>
  </si>
  <si>
    <t>Loves Park</t>
  </si>
  <si>
    <t>Lubbock</t>
  </si>
  <si>
    <t>Lynch</t>
  </si>
  <si>
    <t>Lynchburg</t>
  </si>
  <si>
    <t>M. Nelson</t>
  </si>
  <si>
    <t>MA</t>
  </si>
  <si>
    <t>Macco</t>
  </si>
  <si>
    <t>Macon</t>
  </si>
  <si>
    <t>Madison</t>
  </si>
  <si>
    <t>Mamie</t>
  </si>
  <si>
    <t>Manasquan</t>
  </si>
  <si>
    <t>Margaret</t>
  </si>
  <si>
    <t>Margo</t>
  </si>
  <si>
    <t>Marianne</t>
  </si>
  <si>
    <t>Marion</t>
  </si>
  <si>
    <t>Mark</t>
  </si>
  <si>
    <t>Martha</t>
  </si>
  <si>
    <t>Mazer</t>
  </si>
  <si>
    <t>McCullough</t>
  </si>
  <si>
    <t>McDonald</t>
  </si>
  <si>
    <t>McDonald, Jr.</t>
  </si>
  <si>
    <t>McRoberts</t>
  </si>
  <si>
    <t>MD</t>
  </si>
  <si>
    <t>ME</t>
  </si>
  <si>
    <t>Memphis</t>
  </si>
  <si>
    <t>MENTS</t>
  </si>
  <si>
    <t>Meridian</t>
  </si>
  <si>
    <t>Meyer</t>
  </si>
  <si>
    <t>MI</t>
  </si>
  <si>
    <t>Miami</t>
  </si>
  <si>
    <t>Michael</t>
  </si>
  <si>
    <t>Michigan City</t>
  </si>
  <si>
    <t>Mickelson</t>
  </si>
  <si>
    <t>Midland</t>
  </si>
  <si>
    <t>Milwaukee</t>
  </si>
  <si>
    <t>Minneapolis</t>
  </si>
  <si>
    <t>Minot</t>
  </si>
  <si>
    <t>Mishler</t>
  </si>
  <si>
    <t>MN</t>
  </si>
  <si>
    <t>MO</t>
  </si>
  <si>
    <t>Mogavero</t>
  </si>
  <si>
    <t>Molly</t>
  </si>
  <si>
    <t>Moorhead</t>
  </si>
  <si>
    <t>Morin</t>
  </si>
  <si>
    <t>MS</t>
  </si>
  <si>
    <t>MT</t>
  </si>
  <si>
    <t>Musgrave, II</t>
  </si>
  <si>
    <t>Muskogee</t>
  </si>
  <si>
    <t>Myers</t>
  </si>
  <si>
    <t>Myron</t>
  </si>
  <si>
    <t>N.A.</t>
  </si>
  <si>
    <t>N/A</t>
  </si>
  <si>
    <t>Nancy</t>
  </si>
  <si>
    <t>Nashville</t>
  </si>
  <si>
    <t>NATIONAL AVERAGES</t>
  </si>
  <si>
    <t>NATIONAL TOTALS</t>
  </si>
  <si>
    <t>ND</t>
  </si>
  <si>
    <t>NE</t>
  </si>
  <si>
    <t>New Orleans</t>
  </si>
  <si>
    <t>NH</t>
  </si>
  <si>
    <t>Niklas</t>
  </si>
  <si>
    <t>NJ</t>
  </si>
  <si>
    <t>NM</t>
  </si>
  <si>
    <t>North Little Rock</t>
  </si>
  <si>
    <t>Norwood</t>
  </si>
  <si>
    <t>NV</t>
  </si>
  <si>
    <t>NY</t>
  </si>
  <si>
    <t>Oakland</t>
  </si>
  <si>
    <t>O'Cheskey</t>
  </si>
  <si>
    <t>O'Connell</t>
  </si>
  <si>
    <t>O'Donnell</t>
  </si>
  <si>
    <t>OF 17%</t>
  </si>
  <si>
    <t>OFFICE</t>
  </si>
  <si>
    <t>OH</t>
  </si>
  <si>
    <t>OK</t>
  </si>
  <si>
    <t>Oklahoma City</t>
  </si>
  <si>
    <t>Olson</t>
  </si>
  <si>
    <t>Omaha</t>
  </si>
  <si>
    <t>OPER.</t>
  </si>
  <si>
    <t>OR</t>
  </si>
  <si>
    <t>Oshkosh</t>
  </si>
  <si>
    <t>OUTSIDE</t>
  </si>
  <si>
    <t>PA</t>
  </si>
  <si>
    <t>Palmer</t>
  </si>
  <si>
    <t>Paris</t>
  </si>
  <si>
    <t>Parrish</t>
  </si>
  <si>
    <t>Paul</t>
  </si>
  <si>
    <t>PAYABLE</t>
  </si>
  <si>
    <t>PAYMENTS</t>
  </si>
  <si>
    <t>PAYROLL</t>
  </si>
  <si>
    <t>Pees</t>
  </si>
  <si>
    <t>Pendleton</t>
  </si>
  <si>
    <t>Peoria</t>
  </si>
  <si>
    <t>Peter</t>
  </si>
  <si>
    <t>Petta</t>
  </si>
  <si>
    <t>Phelps</t>
  </si>
  <si>
    <t>Philadelphia</t>
  </si>
  <si>
    <t>Phillip</t>
  </si>
  <si>
    <t>Phoenix</t>
  </si>
  <si>
    <t>Phyllis</t>
  </si>
  <si>
    <t>Pittsburgh</t>
  </si>
  <si>
    <t>Pocatello</t>
  </si>
  <si>
    <t>Portland</t>
  </si>
  <si>
    <t>Portsmouth</t>
  </si>
  <si>
    <t>POSTAGE/</t>
  </si>
  <si>
    <t>PR</t>
  </si>
  <si>
    <t>PRIORITY</t>
  </si>
  <si>
    <t>Providence</t>
  </si>
  <si>
    <t>PURCHASE</t>
  </si>
  <si>
    <t>R. Geoffrey</t>
  </si>
  <si>
    <t>Rakozy</t>
  </si>
  <si>
    <t>Ralph</t>
  </si>
  <si>
    <t>Rau</t>
  </si>
  <si>
    <t>Raymond</t>
  </si>
  <si>
    <t>Reading</t>
  </si>
  <si>
    <t>RECEIPTS</t>
  </si>
  <si>
    <t>RECEIVED</t>
  </si>
  <si>
    <t>REFUNDS TO</t>
  </si>
  <si>
    <t>REG</t>
  </si>
  <si>
    <t>Reiber</t>
  </si>
  <si>
    <t>Reigle</t>
  </si>
  <si>
    <t>RELATE/</t>
  </si>
  <si>
    <t>RELATED</t>
  </si>
  <si>
    <t>Reno</t>
  </si>
  <si>
    <t>RENT AND</t>
  </si>
  <si>
    <t>RENTAL</t>
  </si>
  <si>
    <t>RI</t>
  </si>
  <si>
    <t>Richard</t>
  </si>
  <si>
    <t>Richman</t>
  </si>
  <si>
    <t>Richmond</t>
  </si>
  <si>
    <t>Rick</t>
  </si>
  <si>
    <t>Ridgway</t>
  </si>
  <si>
    <t>Roanoke</t>
  </si>
  <si>
    <t>Robert</t>
  </si>
  <si>
    <t>Robin F.</t>
  </si>
  <si>
    <t>Rochester</t>
  </si>
  <si>
    <t>Rock Island</t>
  </si>
  <si>
    <t>Rockville Centre</t>
  </si>
  <si>
    <t>Rodgers</t>
  </si>
  <si>
    <t>Rodriguez</t>
  </si>
  <si>
    <t>Rosen</t>
  </si>
  <si>
    <t>Rosenbaum</t>
  </si>
  <si>
    <t>Rosenthal</t>
  </si>
  <si>
    <t>Roth</t>
  </si>
  <si>
    <t>Royce</t>
  </si>
  <si>
    <t>Ruskin</t>
  </si>
  <si>
    <t>Sacramento</t>
  </si>
  <si>
    <t>Saginaw</t>
  </si>
  <si>
    <t>SALARIES</t>
  </si>
  <si>
    <t>Sally</t>
  </si>
  <si>
    <t>Salt Lake City</t>
  </si>
  <si>
    <t>San Antonio</t>
  </si>
  <si>
    <t>San Diego</t>
  </si>
  <si>
    <t>San Francisco</t>
  </si>
  <si>
    <t>San Jose</t>
  </si>
  <si>
    <t>San Juan</t>
  </si>
  <si>
    <t>Sanford</t>
  </si>
  <si>
    <t>Santa Ana</t>
  </si>
  <si>
    <t>Santoro</t>
  </si>
  <si>
    <t>Sapir</t>
  </si>
  <si>
    <t>Satterlee, Jr.</t>
  </si>
  <si>
    <t>Savage</t>
  </si>
  <si>
    <t>Savannah</t>
  </si>
  <si>
    <t>SC</t>
  </si>
  <si>
    <t>Schulman</t>
  </si>
  <si>
    <t>Scura</t>
  </si>
  <si>
    <t>SD</t>
  </si>
  <si>
    <t>Seattle</t>
  </si>
  <si>
    <t>SECURED</t>
  </si>
  <si>
    <t>SEMINARS</t>
  </si>
  <si>
    <t>Sensenich</t>
  </si>
  <si>
    <t>SERVICES</t>
  </si>
  <si>
    <t>Seymour</t>
  </si>
  <si>
    <t>Shannon</t>
  </si>
  <si>
    <t>Sharon</t>
  </si>
  <si>
    <t>Shreveport</t>
  </si>
  <si>
    <t>Sidney</t>
  </si>
  <si>
    <t>Simmons</t>
  </si>
  <si>
    <t>Sioux Falls</t>
  </si>
  <si>
    <t>Skelton</t>
  </si>
  <si>
    <t>Smith</t>
  </si>
  <si>
    <t>Southfield</t>
  </si>
  <si>
    <t>Sparkman</t>
  </si>
  <si>
    <t>Spears</t>
  </si>
  <si>
    <t>Spokane</t>
  </si>
  <si>
    <t>Springfield</t>
  </si>
  <si>
    <t>Spurgeon</t>
  </si>
  <si>
    <t>STATE</t>
  </si>
  <si>
    <t>Stephenson, Jr.</t>
  </si>
  <si>
    <t>Sterling</t>
  </si>
  <si>
    <t>Steve</t>
  </si>
  <si>
    <t>Stevenson</t>
  </si>
  <si>
    <t>Still</t>
  </si>
  <si>
    <t>Strickler</t>
  </si>
  <si>
    <t>Stuart</t>
  </si>
  <si>
    <t>SULTING</t>
  </si>
  <si>
    <t>Sumski</t>
  </si>
  <si>
    <t>SUPPLIES</t>
  </si>
  <si>
    <t>SURPLUS</t>
  </si>
  <si>
    <t>Suzanne</t>
  </si>
  <si>
    <t>Swimelar</t>
  </si>
  <si>
    <t>Sylvia</t>
  </si>
  <si>
    <t>TAKEN</t>
  </si>
  <si>
    <t>Tallahassee</t>
  </si>
  <si>
    <t>TAXES</t>
  </si>
  <si>
    <t>Tedd</t>
  </si>
  <si>
    <t>TELEPH/</t>
  </si>
  <si>
    <t>Tenney</t>
  </si>
  <si>
    <t>Terre Haute</t>
  </si>
  <si>
    <t>Terry E.</t>
  </si>
  <si>
    <t>Thomas</t>
  </si>
  <si>
    <t>Tim</t>
  </si>
  <si>
    <t>TN</t>
  </si>
  <si>
    <t>TO USTP</t>
  </si>
  <si>
    <t>Toby</t>
  </si>
  <si>
    <t>Toledo</t>
  </si>
  <si>
    <t>Toscano</t>
  </si>
  <si>
    <t>TOTAL</t>
  </si>
  <si>
    <t>TRAVEL</t>
  </si>
  <si>
    <t>Truman</t>
  </si>
  <si>
    <t>TRUSTEE</t>
  </si>
  <si>
    <t>Tucson</t>
  </si>
  <si>
    <t>Tulsa</t>
  </si>
  <si>
    <t>TX</t>
  </si>
  <si>
    <t>Tyler</t>
  </si>
  <si>
    <t>UNSEC'D</t>
  </si>
  <si>
    <t>UT</t>
  </si>
  <si>
    <t>UTILS</t>
  </si>
  <si>
    <t>VA</t>
  </si>
  <si>
    <t>Virginia</t>
  </si>
  <si>
    <t>VT</t>
  </si>
  <si>
    <t>WA</t>
  </si>
  <si>
    <t>Wallace</t>
  </si>
  <si>
    <t>Walter</t>
  </si>
  <si>
    <t>Warford</t>
  </si>
  <si>
    <t>Washington</t>
  </si>
  <si>
    <t>Wasserman</t>
  </si>
  <si>
    <t>Waterloo</t>
  </si>
  <si>
    <t>Watertown</t>
  </si>
  <si>
    <t>Wayne</t>
  </si>
  <si>
    <t>Weinberg</t>
  </si>
  <si>
    <t>Weiner</t>
  </si>
  <si>
    <t>White</t>
  </si>
  <si>
    <t>White Plains</t>
  </si>
  <si>
    <t>WI</t>
  </si>
  <si>
    <t>Wichita</t>
  </si>
  <si>
    <t>Widener (Wick)</t>
  </si>
  <si>
    <t>Wilder</t>
  </si>
  <si>
    <t>William</t>
  </si>
  <si>
    <t>Wilmington</t>
  </si>
  <si>
    <t>Wilson</t>
  </si>
  <si>
    <t>Winterpark</t>
  </si>
  <si>
    <t>Wolff</t>
  </si>
  <si>
    <t>Wood</t>
  </si>
  <si>
    <t>Worthington</t>
  </si>
  <si>
    <t>WV</t>
  </si>
  <si>
    <t>WY</t>
  </si>
  <si>
    <t>Yarnall</t>
  </si>
  <si>
    <t>Youngstown</t>
  </si>
  <si>
    <t>Yuma</t>
  </si>
  <si>
    <t>Zeman</t>
  </si>
  <si>
    <t>Zimmerman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</si>
</sst>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,##0.0"/>
  </numFmts>
  <fonts count="4">
    <font>
      <sz val="12"/>
      <name val="Arial"/>
    </font>
    <font>
      <sz val="18"/>
      <name val="Arial"/>
    </font>
    <font>
      <sz val="10"/>
      <name val="Times New Roman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3" fontId="0" fillId="0" borderId="0" xfId="0" applyNumberFormat="1"/>
    <xf numFmtId="164" fontId="0" fillId="0" borderId="0" xfId="0" applyNumberForma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7" xfId="0" applyBorder="1"/>
    <xf numFmtId="22" fontId="2" fillId="0" borderId="0" xfId="0" applyNumberFormat="1" applyFont="1"/>
    <xf numFmtId="0" fontId="0" fillId="0" borderId="5" xfId="0" applyBorder="1"/>
    <xf numFmtId="0" fontId="0" fillId="0" borderId="2" xfId="0" applyBorder="1"/>
    <xf numFmtId="0" fontId="0" fillId="0" borderId="8" xfId="0" applyBorder="1"/>
    <xf numFmtId="0" fontId="3" fillId="2" borderId="5" xfId="0" applyFont="1" applyFill="1" applyBorder="1"/>
    <xf numFmtId="0" fontId="3" fillId="0" borderId="7" xfId="0" applyFont="1" applyBorder="1"/>
    <xf numFmtId="0" fontId="0" fillId="0" borderId="6" xfId="0" applyBorder="1"/>
    <xf numFmtId="0" fontId="3" fillId="0" borderId="9" xfId="0" applyFont="1" applyBorder="1"/>
    <xf numFmtId="0" fontId="3" fillId="0" borderId="8" xfId="0" applyFont="1" applyBorder="1"/>
    <xf numFmtId="0" fontId="3" fillId="2" borderId="8" xfId="0" applyFont="1" applyFill="1" applyBorder="1"/>
    <xf numFmtId="22" fontId="3" fillId="0" borderId="8" xfId="0" applyNumberFormat="1" applyFont="1" applyBorder="1"/>
    <xf numFmtId="3" fontId="3" fillId="0" borderId="5" xfId="0" applyNumberFormat="1" applyFont="1" applyBorder="1"/>
    <xf numFmtId="165" fontId="3" fillId="0" borderId="6" xfId="0" applyNumberFormat="1" applyFont="1" applyBorder="1"/>
    <xf numFmtId="165" fontId="3" fillId="0" borderId="5" xfId="0" applyNumberFormat="1" applyFont="1" applyBorder="1"/>
    <xf numFmtId="165" fontId="3" fillId="0" borderId="8" xfId="0" applyNumberFormat="1" applyFont="1" applyBorder="1"/>
    <xf numFmtId="10" fontId="3" fillId="0" borderId="6" xfId="0" applyNumberFormat="1" applyFont="1" applyBorder="1"/>
    <xf numFmtId="10" fontId="3" fillId="0" borderId="5" xfId="0" applyNumberFormat="1" applyFont="1" applyBorder="1"/>
    <xf numFmtId="10" fontId="3" fillId="0" borderId="8" xfId="0" applyNumberFormat="1" applyFont="1" applyBorder="1"/>
    <xf numFmtId="3" fontId="3" fillId="0" borderId="6" xfId="0" applyNumberFormat="1" applyFont="1" applyBorder="1"/>
    <xf numFmtId="3" fontId="3" fillId="0" borderId="8" xfId="0" applyNumberFormat="1" applyFont="1" applyBorder="1"/>
    <xf numFmtId="3" fontId="3" fillId="0" borderId="2" xfId="0" applyNumberFormat="1" applyFont="1" applyBorder="1"/>
    <xf numFmtId="3" fontId="3" fillId="0" borderId="1" xfId="0" applyNumberFormat="1" applyFont="1" applyBorder="1"/>
    <xf numFmtId="0" fontId="3" fillId="3" borderId="10" xfId="0" applyFont="1" applyFill="1" applyBorder="1"/>
    <xf numFmtId="0" fontId="3" fillId="3" borderId="7" xfId="0" applyFont="1" applyFill="1" applyBorder="1"/>
    <xf numFmtId="3" fontId="3" fillId="3" borderId="6" xfId="0" applyNumberFormat="1" applyFont="1" applyFill="1" applyBorder="1"/>
    <xf numFmtId="165" fontId="3" fillId="3" borderId="6" xfId="0" applyNumberFormat="1" applyFont="1" applyFill="1" applyBorder="1"/>
    <xf numFmtId="10" fontId="3" fillId="3" borderId="6" xfId="0" applyNumberFormat="1" applyFont="1" applyFill="1" applyBorder="1"/>
    <xf numFmtId="0" fontId="3" fillId="3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C0C0C0"/>
      <rgbColor rgb="00000000"/>
      <rgbColor rgb="00FFFFFF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185"/>
  <sheetViews>
    <sheetView showGridLines="0" tabSelected="1" workbookViewId="0"/>
  </sheetViews>
  <sheetFormatPr defaultRowHeight="15"/>
  <cols>
    <col min="1" max="1" width="5.08984375" customWidth="1"/>
    <col min="2" max="2" width="12.26953125" customWidth="1"/>
    <col min="3" max="3" width="9.90625" hidden="1" customWidth="1"/>
    <col min="4" max="4" width="12.26953125" customWidth="1"/>
    <col min="5" max="5" width="5.90625" customWidth="1"/>
    <col min="6" max="6" width="11.453125" customWidth="1"/>
    <col min="7" max="7" width="11.08984375" customWidth="1"/>
    <col min="8" max="8" width="11.453125" customWidth="1"/>
    <col min="9" max="10" width="10.6328125" customWidth="1"/>
    <col min="11" max="11" width="12.26953125" customWidth="1"/>
    <col min="12" max="12" width="9.08984375" customWidth="1"/>
    <col min="13" max="13" width="7.453125" customWidth="1"/>
    <col min="14" max="14" width="9.08984375" customWidth="1"/>
    <col min="15" max="15" width="9.90625" customWidth="1"/>
    <col min="16" max="16" width="9.08984375" customWidth="1"/>
    <col min="17" max="17" width="9.90625" customWidth="1"/>
    <col min="18" max="21" width="9.08984375" customWidth="1"/>
    <col min="22" max="22" width="9.90625" customWidth="1"/>
    <col min="23" max="24" width="9.08984375" customWidth="1"/>
    <col min="25" max="25" width="9.90625" customWidth="1"/>
    <col min="26" max="26" width="9.08984375" customWidth="1"/>
    <col min="29" max="29" width="9.54296875" customWidth="1"/>
    <col min="31" max="31" width="9.90625" customWidth="1"/>
    <col min="33" max="34" width="9.90625" customWidth="1"/>
    <col min="35" max="35" width="7.453125" customWidth="1"/>
    <col min="36" max="36" width="9.90625" customWidth="1"/>
    <col min="37" max="37" width="9.08984375" customWidth="1"/>
    <col min="38" max="41" width="8.26953125" customWidth="1"/>
  </cols>
  <sheetData>
    <row r="1" spans="1:42">
      <c r="B1" s="4" t="s">
        <v>92</v>
      </c>
      <c r="F1" s="4"/>
    </row>
    <row r="2" spans="1:42" ht="22.8">
      <c r="A2" s="9"/>
      <c r="B2" s="4" t="s">
        <v>182</v>
      </c>
      <c r="F2" s="4"/>
      <c r="Q2" s="1"/>
      <c r="S2" s="14"/>
    </row>
    <row r="5" spans="1:42">
      <c r="A5" s="2"/>
      <c r="B5" s="6"/>
      <c r="C5" s="12"/>
      <c r="D5" s="6"/>
      <c r="E5" s="6"/>
      <c r="F5" s="6" t="s">
        <v>200</v>
      </c>
      <c r="G5" s="6"/>
      <c r="H5" s="6" t="s">
        <v>463</v>
      </c>
      <c r="I5" s="6" t="s">
        <v>401</v>
      </c>
      <c r="J5" s="6" t="s">
        <v>520</v>
      </c>
      <c r="K5" s="6" t="s">
        <v>512</v>
      </c>
      <c r="L5" s="6" t="s">
        <v>3</v>
      </c>
      <c r="M5" s="6" t="s">
        <v>37</v>
      </c>
      <c r="N5" s="6"/>
      <c r="O5" s="6" t="s">
        <v>50</v>
      </c>
      <c r="P5" s="6"/>
      <c r="Q5" s="19" t="s">
        <v>2</v>
      </c>
      <c r="R5" s="19"/>
      <c r="S5" s="21"/>
      <c r="T5" s="6" t="s">
        <v>367</v>
      </c>
      <c r="U5" s="6" t="s">
        <v>376</v>
      </c>
      <c r="V5" s="6"/>
      <c r="W5" s="6"/>
      <c r="X5" s="6" t="s">
        <v>115</v>
      </c>
      <c r="Y5" s="6" t="s">
        <v>501</v>
      </c>
      <c r="Z5" s="6"/>
      <c r="AA5" s="6"/>
      <c r="AB5" s="6" t="s">
        <v>160</v>
      </c>
      <c r="AC5" s="6" t="s">
        <v>160</v>
      </c>
      <c r="AD5" s="6" t="s">
        <v>512</v>
      </c>
      <c r="AE5" s="6"/>
      <c r="AF5" s="6" t="s">
        <v>416</v>
      </c>
      <c r="AG5" s="6"/>
      <c r="AH5" s="6"/>
      <c r="AI5" s="6"/>
      <c r="AJ5" s="6" t="s">
        <v>157</v>
      </c>
      <c r="AK5" s="6" t="s">
        <v>165</v>
      </c>
      <c r="AL5" s="6" t="s">
        <v>493</v>
      </c>
      <c r="AM5" s="6" t="s">
        <v>10</v>
      </c>
      <c r="AN5" s="6"/>
      <c r="AO5" s="6"/>
      <c r="AP5" s="2"/>
    </row>
    <row r="6" spans="1:42">
      <c r="A6" s="3"/>
      <c r="B6" s="7" t="s">
        <v>515</v>
      </c>
      <c r="C6" s="15" t="s">
        <v>515</v>
      </c>
      <c r="D6" s="7"/>
      <c r="E6" s="7"/>
      <c r="F6" s="7" t="s">
        <v>383</v>
      </c>
      <c r="G6" s="18" t="s">
        <v>412</v>
      </c>
      <c r="H6" s="7" t="s">
        <v>121</v>
      </c>
      <c r="I6" s="7" t="s">
        <v>121</v>
      </c>
      <c r="J6" s="7" t="s">
        <v>121</v>
      </c>
      <c r="K6" s="7" t="s">
        <v>142</v>
      </c>
      <c r="L6" s="7" t="s">
        <v>410</v>
      </c>
      <c r="M6" s="7" t="s">
        <v>7</v>
      </c>
      <c r="N6" s="7" t="s">
        <v>5</v>
      </c>
      <c r="O6" s="7" t="s">
        <v>164</v>
      </c>
      <c r="P6" s="7" t="s">
        <v>117</v>
      </c>
      <c r="Q6" s="7"/>
      <c r="R6" s="7" t="s">
        <v>384</v>
      </c>
      <c r="S6" s="7"/>
      <c r="T6" s="7" t="s">
        <v>419</v>
      </c>
      <c r="U6" s="7" t="s">
        <v>9</v>
      </c>
      <c r="V6" s="7" t="s">
        <v>114</v>
      </c>
      <c r="W6" s="7" t="s">
        <v>34</v>
      </c>
      <c r="X6" s="7" t="s">
        <v>490</v>
      </c>
      <c r="Y6" s="7" t="s">
        <v>399</v>
      </c>
      <c r="Z6" s="7" t="s">
        <v>116</v>
      </c>
      <c r="AA6" s="7"/>
      <c r="AB6" s="7" t="s">
        <v>181</v>
      </c>
      <c r="AC6" s="7" t="s">
        <v>181</v>
      </c>
      <c r="AD6" s="7" t="s">
        <v>20</v>
      </c>
      <c r="AE6" s="7" t="s">
        <v>512</v>
      </c>
      <c r="AF6" s="7" t="s">
        <v>19</v>
      </c>
      <c r="AG6" s="7" t="s">
        <v>11</v>
      </c>
      <c r="AH6" s="7" t="s">
        <v>21</v>
      </c>
      <c r="AI6" s="7" t="s">
        <v>163</v>
      </c>
      <c r="AJ6" s="7" t="s">
        <v>165</v>
      </c>
      <c r="AK6" s="7" t="s">
        <v>236</v>
      </c>
      <c r="AL6" s="7" t="s">
        <v>382</v>
      </c>
      <c r="AM6" s="7" t="s">
        <v>373</v>
      </c>
      <c r="AN6" s="7" t="s">
        <v>4</v>
      </c>
      <c r="AO6" s="7" t="s">
        <v>4</v>
      </c>
      <c r="AP6" s="3" t="s">
        <v>89</v>
      </c>
    </row>
    <row r="7" spans="1:42">
      <c r="A7" s="5" t="s">
        <v>413</v>
      </c>
      <c r="B7" s="22" t="s">
        <v>277</v>
      </c>
      <c r="C7" s="17" t="s">
        <v>170</v>
      </c>
      <c r="D7" s="22" t="s">
        <v>104</v>
      </c>
      <c r="E7" s="22" t="s">
        <v>482</v>
      </c>
      <c r="F7" s="22" t="s">
        <v>411</v>
      </c>
      <c r="G7" s="23" t="s">
        <v>133</v>
      </c>
      <c r="H7" s="22" t="s">
        <v>141</v>
      </c>
      <c r="I7" s="22" t="s">
        <v>141</v>
      </c>
      <c r="J7" s="22" t="s">
        <v>141</v>
      </c>
      <c r="K7" s="22" t="s">
        <v>320</v>
      </c>
      <c r="L7" s="22" t="s">
        <v>215</v>
      </c>
      <c r="M7" s="22" t="s">
        <v>29</v>
      </c>
      <c r="N7" s="22" t="s">
        <v>497</v>
      </c>
      <c r="O7" s="22" t="s">
        <v>39</v>
      </c>
      <c r="P7" s="22" t="s">
        <v>410</v>
      </c>
      <c r="Q7" s="22" t="s">
        <v>443</v>
      </c>
      <c r="R7" s="22" t="s">
        <v>499</v>
      </c>
      <c r="S7" s="22" t="s">
        <v>54</v>
      </c>
      <c r="T7" s="22" t="s">
        <v>522</v>
      </c>
      <c r="U7" s="22" t="s">
        <v>466</v>
      </c>
      <c r="V7" s="22" t="s">
        <v>466</v>
      </c>
      <c r="W7" s="22" t="s">
        <v>466</v>
      </c>
      <c r="X7" s="22" t="s">
        <v>466</v>
      </c>
      <c r="Y7" s="22" t="s">
        <v>492</v>
      </c>
      <c r="Z7" s="22" t="s">
        <v>464</v>
      </c>
      <c r="AA7" s="22" t="s">
        <v>513</v>
      </c>
      <c r="AB7" s="22" t="s">
        <v>420</v>
      </c>
      <c r="AC7" s="22" t="s">
        <v>403</v>
      </c>
      <c r="AD7" s="22" t="s">
        <v>417</v>
      </c>
      <c r="AE7" s="22" t="s">
        <v>166</v>
      </c>
      <c r="AF7" s="22" t="s">
        <v>6</v>
      </c>
      <c r="AG7" s="22" t="s">
        <v>112</v>
      </c>
      <c r="AH7" s="22" t="s">
        <v>112</v>
      </c>
      <c r="AI7" s="22" t="s">
        <v>112</v>
      </c>
      <c r="AJ7" s="22" t="s">
        <v>39</v>
      </c>
      <c r="AK7" s="22" t="s">
        <v>366</v>
      </c>
      <c r="AL7" s="22" t="s">
        <v>508</v>
      </c>
      <c r="AM7" s="22" t="s">
        <v>135</v>
      </c>
      <c r="AN7" s="22" t="s">
        <v>156</v>
      </c>
      <c r="AO7" s="22" t="s">
        <v>155</v>
      </c>
      <c r="AP7" s="3" t="s">
        <v>8</v>
      </c>
    </row>
    <row r="8" spans="1:42">
      <c r="A8" s="1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1"/>
    </row>
    <row r="9" spans="1:42">
      <c r="A9" s="36"/>
      <c r="B9" s="37" t="s">
        <v>349</v>
      </c>
      <c r="C9" s="13"/>
      <c r="D9" s="37"/>
      <c r="E9" s="37"/>
      <c r="F9" s="38">
        <f t="shared" ref="F9:AE9" si="0">AVERAGE(F12:F180)</f>
        <v>11658645.353550296</v>
      </c>
      <c r="G9" s="38">
        <f t="shared" si="0"/>
        <v>474545.13508875738</v>
      </c>
      <c r="H9" s="38">
        <f t="shared" si="0"/>
        <v>6031268.6446153848</v>
      </c>
      <c r="I9" s="38">
        <f t="shared" si="0"/>
        <v>1323408.534852071</v>
      </c>
      <c r="J9" s="38">
        <f t="shared" si="0"/>
        <v>2433132.0362721891</v>
      </c>
      <c r="K9" s="38">
        <f t="shared" si="0"/>
        <v>11152367.697278107</v>
      </c>
      <c r="L9" s="39">
        <f t="shared" si="0"/>
        <v>1.3634201183431951</v>
      </c>
      <c r="M9" s="40">
        <f t="shared" si="0"/>
        <v>7.0572067079580636E-2</v>
      </c>
      <c r="N9" s="38">
        <f t="shared" si="0"/>
        <v>579431.77011904761</v>
      </c>
      <c r="O9" s="38">
        <f t="shared" si="0"/>
        <v>133781.16372781066</v>
      </c>
      <c r="P9" s="38">
        <f t="shared" si="0"/>
        <v>1418.1183431952663</v>
      </c>
      <c r="Q9" s="38">
        <f t="shared" si="0"/>
        <v>269827.59065088758</v>
      </c>
      <c r="R9" s="38">
        <f t="shared" si="0"/>
        <v>23788.289940828403</v>
      </c>
      <c r="S9" s="38">
        <f t="shared" si="0"/>
        <v>51819.550236686395</v>
      </c>
      <c r="T9" s="38">
        <f t="shared" si="0"/>
        <v>50766.191715976332</v>
      </c>
      <c r="U9" s="38">
        <f t="shared" si="0"/>
        <v>6553.5621301775145</v>
      </c>
      <c r="V9" s="38">
        <f t="shared" si="0"/>
        <v>27850.372781065089</v>
      </c>
      <c r="W9" s="38">
        <f t="shared" si="0"/>
        <v>8100.2544378698221</v>
      </c>
      <c r="X9" s="38">
        <f t="shared" si="0"/>
        <v>5197.958579881657</v>
      </c>
      <c r="Y9" s="38">
        <f t="shared" si="0"/>
        <v>50531.275562130177</v>
      </c>
      <c r="Z9" s="38">
        <f t="shared" si="0"/>
        <v>5394.7573964497042</v>
      </c>
      <c r="AA9" s="38">
        <f t="shared" si="0"/>
        <v>2637.7720118343195</v>
      </c>
      <c r="AB9" s="38">
        <f t="shared" si="0"/>
        <v>4069.1775147928993</v>
      </c>
      <c r="AC9" s="38">
        <f t="shared" si="0"/>
        <v>26053.359281437126</v>
      </c>
      <c r="AD9" s="38">
        <f t="shared" si="0"/>
        <v>47084.755029585795</v>
      </c>
      <c r="AE9" s="38">
        <f t="shared" si="0"/>
        <v>572537.26390532544</v>
      </c>
      <c r="AF9" s="40">
        <f>AD10/AE10</f>
        <v>8.223876068505423E-2</v>
      </c>
      <c r="AG9" s="38">
        <f t="shared" ref="AG9:AP9" si="1">AVERAGE(AG12:AG180)</f>
        <v>107159.09319526626</v>
      </c>
      <c r="AH9" s="38">
        <f t="shared" si="1"/>
        <v>107137.4446745562</v>
      </c>
      <c r="AI9" s="38">
        <f t="shared" si="1"/>
        <v>111.79289940828403</v>
      </c>
      <c r="AJ9" s="38">
        <f t="shared" si="1"/>
        <v>79417.372781065089</v>
      </c>
      <c r="AK9" s="38">
        <f t="shared" si="1"/>
        <v>3516.4201183431951</v>
      </c>
      <c r="AL9" s="38">
        <f t="shared" si="1"/>
        <v>2008.7337278106509</v>
      </c>
      <c r="AM9" s="38">
        <f t="shared" si="1"/>
        <v>1585.8994082840236</v>
      </c>
      <c r="AN9" s="38">
        <f t="shared" si="1"/>
        <v>3030.7041420118344</v>
      </c>
      <c r="AO9" s="38">
        <f t="shared" si="1"/>
        <v>2940.147928994083</v>
      </c>
      <c r="AP9" s="38">
        <f t="shared" si="1"/>
        <v>28.668639053254438</v>
      </c>
    </row>
    <row r="10" spans="1:42">
      <c r="A10" s="36"/>
      <c r="B10" s="37" t="s">
        <v>350</v>
      </c>
      <c r="C10" s="13"/>
      <c r="D10" s="37"/>
      <c r="E10" s="37"/>
      <c r="F10" s="38">
        <f t="shared" ref="F10:K10" si="2">SUM(F12:F180)</f>
        <v>1970311064.75</v>
      </c>
      <c r="G10" s="38">
        <f t="shared" si="2"/>
        <v>80198127.829999998</v>
      </c>
      <c r="H10" s="38">
        <f t="shared" si="2"/>
        <v>1019284400.9400001</v>
      </c>
      <c r="I10" s="38">
        <f t="shared" si="2"/>
        <v>223656042.38999999</v>
      </c>
      <c r="J10" s="38">
        <f t="shared" si="2"/>
        <v>411199314.13</v>
      </c>
      <c r="K10" s="38">
        <f t="shared" si="2"/>
        <v>1884750140.8399999</v>
      </c>
      <c r="L10" s="39" t="s">
        <v>345</v>
      </c>
      <c r="M10" s="41" t="s">
        <v>345</v>
      </c>
      <c r="N10" s="38">
        <f t="shared" ref="N10:AE10" si="3">SUM(N12:N180)</f>
        <v>97344537.379999995</v>
      </c>
      <c r="O10" s="38">
        <f t="shared" si="3"/>
        <v>22609016.670000002</v>
      </c>
      <c r="P10" s="38">
        <f t="shared" si="3"/>
        <v>239662</v>
      </c>
      <c r="Q10" s="38">
        <f t="shared" si="3"/>
        <v>45600862.82</v>
      </c>
      <c r="R10" s="38">
        <f t="shared" si="3"/>
        <v>4020221</v>
      </c>
      <c r="S10" s="38">
        <f t="shared" si="3"/>
        <v>8757503.9900000002</v>
      </c>
      <c r="T10" s="38">
        <f t="shared" si="3"/>
        <v>8579486.4000000004</v>
      </c>
      <c r="U10" s="38">
        <f t="shared" si="3"/>
        <v>1107552</v>
      </c>
      <c r="V10" s="38">
        <f t="shared" si="3"/>
        <v>4706713</v>
      </c>
      <c r="W10" s="38">
        <f t="shared" si="3"/>
        <v>1368943</v>
      </c>
      <c r="X10" s="38">
        <f t="shared" si="3"/>
        <v>878455</v>
      </c>
      <c r="Y10" s="38">
        <f t="shared" si="3"/>
        <v>8539785.5700000003</v>
      </c>
      <c r="Z10" s="38">
        <f t="shared" si="3"/>
        <v>911714</v>
      </c>
      <c r="AA10" s="38">
        <f t="shared" si="3"/>
        <v>445783.47</v>
      </c>
      <c r="AB10" s="38">
        <f t="shared" si="3"/>
        <v>687691</v>
      </c>
      <c r="AC10" s="38">
        <f t="shared" si="3"/>
        <v>4350911</v>
      </c>
      <c r="AD10" s="38">
        <f t="shared" si="3"/>
        <v>7957323.5999999996</v>
      </c>
      <c r="AE10" s="38">
        <f t="shared" si="3"/>
        <v>96758797.599999994</v>
      </c>
      <c r="AF10" s="41" t="s">
        <v>345</v>
      </c>
      <c r="AG10" s="38">
        <f t="shared" ref="AG10:AP10" si="4">SUM(AG12:AG180)</f>
        <v>18109886.75</v>
      </c>
      <c r="AH10" s="38">
        <f t="shared" si="4"/>
        <v>18106228.149999999</v>
      </c>
      <c r="AI10" s="38">
        <f t="shared" si="4"/>
        <v>18893</v>
      </c>
      <c r="AJ10" s="38">
        <f t="shared" si="4"/>
        <v>13421536</v>
      </c>
      <c r="AK10" s="38">
        <f t="shared" si="4"/>
        <v>594275</v>
      </c>
      <c r="AL10" s="38">
        <f t="shared" si="4"/>
        <v>339476</v>
      </c>
      <c r="AM10" s="38">
        <f t="shared" si="4"/>
        <v>268017</v>
      </c>
      <c r="AN10" s="38">
        <f t="shared" si="4"/>
        <v>512189</v>
      </c>
      <c r="AO10" s="38">
        <f t="shared" si="4"/>
        <v>496885</v>
      </c>
      <c r="AP10" s="38">
        <f t="shared" si="4"/>
        <v>4845</v>
      </c>
    </row>
    <row r="11" spans="1:42">
      <c r="A11" s="3"/>
      <c r="B11" s="7"/>
      <c r="C11" s="15"/>
      <c r="D11" s="25"/>
      <c r="E11" s="7"/>
      <c r="F11" s="25"/>
      <c r="G11" s="25"/>
      <c r="H11" s="25"/>
      <c r="I11" s="25"/>
      <c r="J11" s="25"/>
      <c r="K11" s="25"/>
      <c r="L11" s="27"/>
      <c r="M11" s="30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9"/>
      <c r="AG11" s="25"/>
      <c r="AH11" s="25"/>
      <c r="AI11" s="25"/>
      <c r="AJ11" s="25"/>
      <c r="AK11" s="25"/>
      <c r="AL11" s="25"/>
      <c r="AM11" s="25"/>
      <c r="AN11" s="25"/>
      <c r="AO11" s="25"/>
      <c r="AP11" s="34"/>
    </row>
    <row r="12" spans="1:42">
      <c r="A12" s="8">
        <v>1</v>
      </c>
      <c r="B12" s="8" t="s">
        <v>67</v>
      </c>
      <c r="C12" s="20" t="s">
        <v>249</v>
      </c>
      <c r="D12" s="8" t="s">
        <v>402</v>
      </c>
      <c r="E12" s="8" t="s">
        <v>421</v>
      </c>
      <c r="F12" s="32">
        <v>2095581</v>
      </c>
      <c r="G12" s="32">
        <v>158272</v>
      </c>
      <c r="H12" s="32">
        <v>850196</v>
      </c>
      <c r="I12" s="32">
        <v>271667</v>
      </c>
      <c r="J12" s="32">
        <v>361240</v>
      </c>
      <c r="K12" s="32">
        <v>1844379</v>
      </c>
      <c r="L12" s="26">
        <v>3</v>
      </c>
      <c r="M12" s="29">
        <f>143976/1700593</f>
        <v>8.4662232527124362E-2</v>
      </c>
      <c r="N12" s="32">
        <v>143423</v>
      </c>
      <c r="O12" s="32">
        <v>22087</v>
      </c>
      <c r="P12" s="32">
        <v>0</v>
      </c>
      <c r="Q12" s="32">
        <v>27796</v>
      </c>
      <c r="R12" s="32">
        <v>2604</v>
      </c>
      <c r="S12" s="32">
        <v>5671</v>
      </c>
      <c r="T12" s="32">
        <v>12344</v>
      </c>
      <c r="U12" s="32">
        <v>1815</v>
      </c>
      <c r="V12" s="32">
        <v>0</v>
      </c>
      <c r="W12" s="32">
        <v>5750</v>
      </c>
      <c r="X12" s="32">
        <v>0</v>
      </c>
      <c r="Y12" s="32">
        <f>1381+2198+2004</f>
        <v>5583</v>
      </c>
      <c r="Z12" s="32">
        <v>0</v>
      </c>
      <c r="AA12" s="32">
        <v>806</v>
      </c>
      <c r="AB12" s="32">
        <v>1847</v>
      </c>
      <c r="AC12" s="32"/>
      <c r="AD12" s="32">
        <v>56865</v>
      </c>
      <c r="AE12" s="32">
        <v>67630</v>
      </c>
      <c r="AF12" s="29">
        <f t="shared" ref="AF12:AF43" si="5">IF(AE12=0,0,AD12/AE12)</f>
        <v>0.84082507762827152</v>
      </c>
      <c r="AG12" s="32">
        <v>96932</v>
      </c>
      <c r="AH12" s="32">
        <v>96865</v>
      </c>
      <c r="AI12" s="32">
        <v>67</v>
      </c>
      <c r="AJ12" s="32">
        <v>6560</v>
      </c>
      <c r="AK12" s="32">
        <v>0</v>
      </c>
      <c r="AL12" s="32">
        <v>0</v>
      </c>
      <c r="AM12" s="32">
        <v>0</v>
      </c>
      <c r="AN12" s="32">
        <v>309</v>
      </c>
      <c r="AO12" s="32">
        <v>316</v>
      </c>
      <c r="AP12" s="32">
        <v>1</v>
      </c>
    </row>
    <row r="13" spans="1:42">
      <c r="A13" s="5">
        <v>1</v>
      </c>
      <c r="B13" s="22" t="s">
        <v>82</v>
      </c>
      <c r="C13" s="17" t="s">
        <v>90</v>
      </c>
      <c r="D13" s="22" t="s">
        <v>167</v>
      </c>
      <c r="E13" s="22" t="s">
        <v>300</v>
      </c>
      <c r="F13" s="33">
        <v>2104939</v>
      </c>
      <c r="G13" s="33">
        <v>36873</v>
      </c>
      <c r="H13" s="33">
        <v>579714</v>
      </c>
      <c r="I13" s="33">
        <v>287495</v>
      </c>
      <c r="J13" s="33">
        <v>194461</v>
      </c>
      <c r="K13" s="33">
        <v>1223431</v>
      </c>
      <c r="L13" s="28">
        <v>3.66</v>
      </c>
      <c r="M13" s="31">
        <f>122028/1220281</f>
        <v>9.9999918051661876E-2</v>
      </c>
      <c r="N13" s="33">
        <v>123971</v>
      </c>
      <c r="O13" s="33">
        <v>452</v>
      </c>
      <c r="P13" s="33">
        <v>0</v>
      </c>
      <c r="Q13" s="33">
        <v>31305</v>
      </c>
      <c r="R13" s="33">
        <v>3452</v>
      </c>
      <c r="S13" s="33">
        <v>0</v>
      </c>
      <c r="T13" s="33">
        <f>5017+1159</f>
        <v>6176</v>
      </c>
      <c r="U13" s="33">
        <v>3483</v>
      </c>
      <c r="V13" s="33">
        <v>18396</v>
      </c>
      <c r="W13" s="33">
        <v>5750</v>
      </c>
      <c r="X13" s="33">
        <v>0</v>
      </c>
      <c r="Y13" s="33">
        <f>2145+2270+3616</f>
        <v>8031</v>
      </c>
      <c r="Z13" s="33">
        <v>2563</v>
      </c>
      <c r="AA13" s="33">
        <v>3769</v>
      </c>
      <c r="AB13" s="33">
        <v>410</v>
      </c>
      <c r="AC13" s="33">
        <v>4140</v>
      </c>
      <c r="AD13" s="33">
        <v>3180</v>
      </c>
      <c r="AE13" s="33">
        <v>118656</v>
      </c>
      <c r="AF13" s="31">
        <f t="shared" si="5"/>
        <v>2.6800161812297735E-2</v>
      </c>
      <c r="AG13" s="33">
        <v>35952</v>
      </c>
      <c r="AH13" s="33">
        <v>40673</v>
      </c>
      <c r="AI13" s="33">
        <v>0</v>
      </c>
      <c r="AJ13" s="33">
        <v>854</v>
      </c>
      <c r="AK13" s="33">
        <v>0</v>
      </c>
      <c r="AL13" s="33">
        <v>0</v>
      </c>
      <c r="AM13" s="33">
        <v>0</v>
      </c>
      <c r="AN13" s="33">
        <v>891</v>
      </c>
      <c r="AO13" s="33">
        <v>238</v>
      </c>
      <c r="AP13" s="35">
        <v>0</v>
      </c>
    </row>
    <row r="14" spans="1:42">
      <c r="A14" s="5">
        <v>1</v>
      </c>
      <c r="B14" s="22" t="s">
        <v>297</v>
      </c>
      <c r="C14" s="17" t="s">
        <v>243</v>
      </c>
      <c r="D14" s="22" t="s">
        <v>63</v>
      </c>
      <c r="E14" s="22" t="s">
        <v>300</v>
      </c>
      <c r="F14" s="33">
        <v>7349349</v>
      </c>
      <c r="G14" s="33">
        <v>686825</v>
      </c>
      <c r="H14" s="33">
        <v>4030263</v>
      </c>
      <c r="I14" s="33">
        <v>3242531</v>
      </c>
      <c r="J14" s="33">
        <v>3146509</v>
      </c>
      <c r="K14" s="33">
        <v>11641378</v>
      </c>
      <c r="L14" s="28">
        <v>2.27</v>
      </c>
      <c r="M14" s="31">
        <f>1106364/11641378</f>
        <v>9.5037202640443422E-2</v>
      </c>
      <c r="N14" s="33">
        <v>1094854</v>
      </c>
      <c r="O14" s="33">
        <v>147188</v>
      </c>
      <c r="P14" s="33">
        <v>0</v>
      </c>
      <c r="Q14" s="33">
        <v>300998</v>
      </c>
      <c r="R14" s="33">
        <v>35743</v>
      </c>
      <c r="S14" s="33">
        <v>46549</v>
      </c>
      <c r="T14" s="33">
        <f>43508+4074</f>
        <v>47582</v>
      </c>
      <c r="U14" s="33">
        <v>18465</v>
      </c>
      <c r="V14" s="33">
        <v>181569</v>
      </c>
      <c r="W14" s="33">
        <v>0</v>
      </c>
      <c r="X14" s="33">
        <v>17126</v>
      </c>
      <c r="Y14" s="33">
        <f>4436+11710+10960</f>
        <v>27106</v>
      </c>
      <c r="Z14" s="33">
        <v>4823</v>
      </c>
      <c r="AA14" s="33">
        <v>450</v>
      </c>
      <c r="AB14" s="33">
        <v>13735</v>
      </c>
      <c r="AC14" s="33">
        <v>89552</v>
      </c>
      <c r="AD14" s="33">
        <v>0</v>
      </c>
      <c r="AE14" s="33">
        <v>854684</v>
      </c>
      <c r="AF14" s="31">
        <f t="shared" si="5"/>
        <v>0</v>
      </c>
      <c r="AG14" s="33">
        <v>0</v>
      </c>
      <c r="AH14" s="33">
        <v>0</v>
      </c>
      <c r="AI14" s="33">
        <v>0</v>
      </c>
      <c r="AJ14" s="33">
        <v>420895</v>
      </c>
      <c r="AK14" s="33">
        <v>227167</v>
      </c>
      <c r="AL14" s="33">
        <v>0</v>
      </c>
      <c r="AM14" s="33">
        <v>0</v>
      </c>
      <c r="AN14" s="33">
        <v>4359</v>
      </c>
      <c r="AO14" s="33">
        <v>0</v>
      </c>
      <c r="AP14" s="35">
        <v>586</v>
      </c>
    </row>
    <row r="15" spans="1:42">
      <c r="A15" s="5">
        <v>1</v>
      </c>
      <c r="B15" s="24" t="s">
        <v>168</v>
      </c>
      <c r="C15" s="17" t="s">
        <v>388</v>
      </c>
      <c r="D15" s="22" t="s">
        <v>75</v>
      </c>
      <c r="E15" s="22" t="s">
        <v>318</v>
      </c>
      <c r="F15" s="33">
        <v>3217596</v>
      </c>
      <c r="G15" s="33">
        <v>218660</v>
      </c>
      <c r="H15" s="33">
        <v>1714818</v>
      </c>
      <c r="I15" s="33">
        <v>259569</v>
      </c>
      <c r="J15" s="33">
        <v>609736</v>
      </c>
      <c r="K15" s="33">
        <v>2972665</v>
      </c>
      <c r="L15" s="28">
        <v>3.21</v>
      </c>
      <c r="M15" s="31">
        <f>253025/2968662</f>
        <v>8.5232000140130465E-2</v>
      </c>
      <c r="N15" s="33">
        <v>243766</v>
      </c>
      <c r="O15" s="33">
        <v>36470</v>
      </c>
      <c r="P15" s="33">
        <v>0</v>
      </c>
      <c r="Q15" s="33">
        <v>77237</v>
      </c>
      <c r="R15" s="33">
        <v>8142</v>
      </c>
      <c r="S15" s="33">
        <v>6581</v>
      </c>
      <c r="T15" s="33">
        <f>9744+2724</f>
        <v>12468</v>
      </c>
      <c r="U15" s="33">
        <v>0</v>
      </c>
      <c r="V15" s="33">
        <v>3750</v>
      </c>
      <c r="W15" s="33">
        <v>5750</v>
      </c>
      <c r="X15" s="33">
        <v>2821</v>
      </c>
      <c r="Y15" s="33">
        <f>5886+3906+6105</f>
        <v>15897</v>
      </c>
      <c r="Z15" s="33">
        <v>1309</v>
      </c>
      <c r="AA15" s="33">
        <v>3682</v>
      </c>
      <c r="AB15" s="33">
        <v>0</v>
      </c>
      <c r="AC15" s="33">
        <v>3119</v>
      </c>
      <c r="AD15" s="33">
        <v>87956</v>
      </c>
      <c r="AE15" s="33">
        <v>153470</v>
      </c>
      <c r="AF15" s="31">
        <f t="shared" si="5"/>
        <v>0.573115266827393</v>
      </c>
      <c r="AG15" s="33">
        <v>122177</v>
      </c>
      <c r="AH15" s="33">
        <v>122177</v>
      </c>
      <c r="AI15" s="33">
        <v>0</v>
      </c>
      <c r="AJ15" s="33">
        <v>13359</v>
      </c>
      <c r="AK15" s="33">
        <v>0</v>
      </c>
      <c r="AL15" s="33">
        <v>0</v>
      </c>
      <c r="AM15" s="33">
        <v>0</v>
      </c>
      <c r="AN15" s="33">
        <v>892</v>
      </c>
      <c r="AO15" s="33">
        <v>936</v>
      </c>
      <c r="AP15" s="35">
        <v>1</v>
      </c>
    </row>
    <row r="16" spans="1:42">
      <c r="A16" s="5">
        <v>1</v>
      </c>
      <c r="B16" s="22" t="s">
        <v>491</v>
      </c>
      <c r="C16" s="17" t="s">
        <v>280</v>
      </c>
      <c r="D16" s="22" t="s">
        <v>22</v>
      </c>
      <c r="E16" s="22" t="s">
        <v>354</v>
      </c>
      <c r="F16" s="33">
        <v>1550898</v>
      </c>
      <c r="G16" s="33">
        <v>89891</v>
      </c>
      <c r="H16" s="33">
        <v>476992</v>
      </c>
      <c r="I16" s="33">
        <v>467666</v>
      </c>
      <c r="J16" s="33">
        <v>278081</v>
      </c>
      <c r="K16" s="33">
        <v>1365668</v>
      </c>
      <c r="L16" s="28">
        <v>1.8</v>
      </c>
      <c r="M16" s="31">
        <f>113991/1365668</f>
        <v>8.3469042256243825E-2</v>
      </c>
      <c r="N16" s="33">
        <v>113904</v>
      </c>
      <c r="O16" s="33">
        <v>27376</v>
      </c>
      <c r="P16" s="33">
        <v>0</v>
      </c>
      <c r="Q16" s="33">
        <v>24710</v>
      </c>
      <c r="R16" s="33">
        <v>1852</v>
      </c>
      <c r="S16" s="33">
        <v>4655</v>
      </c>
      <c r="T16" s="33">
        <f>7524+726</f>
        <v>8250</v>
      </c>
      <c r="U16" s="33">
        <v>0</v>
      </c>
      <c r="V16" s="33">
        <v>2296</v>
      </c>
      <c r="W16" s="33">
        <v>5250</v>
      </c>
      <c r="X16" s="33">
        <v>0</v>
      </c>
      <c r="Y16" s="33">
        <f>1385+3458+2197</f>
        <v>7040</v>
      </c>
      <c r="Z16" s="33">
        <v>1555</v>
      </c>
      <c r="AA16" s="33">
        <v>0</v>
      </c>
      <c r="AB16" s="33">
        <v>0</v>
      </c>
      <c r="AC16" s="33">
        <v>2667</v>
      </c>
      <c r="AD16" s="33">
        <v>44234</v>
      </c>
      <c r="AE16" s="33">
        <v>64155</v>
      </c>
      <c r="AF16" s="31">
        <f t="shared" si="5"/>
        <v>0.68948640012469797</v>
      </c>
      <c r="AG16" s="33">
        <v>72500</v>
      </c>
      <c r="AH16" s="33">
        <v>72500</v>
      </c>
      <c r="AI16" s="33">
        <v>0</v>
      </c>
      <c r="AJ16" s="33">
        <v>9208</v>
      </c>
      <c r="AK16" s="33">
        <v>0</v>
      </c>
      <c r="AL16" s="33">
        <v>0</v>
      </c>
      <c r="AM16" s="33">
        <v>0</v>
      </c>
      <c r="AN16" s="33">
        <v>605</v>
      </c>
      <c r="AO16" s="33">
        <v>537</v>
      </c>
      <c r="AP16" s="35">
        <v>0</v>
      </c>
    </row>
    <row r="17" spans="1:42">
      <c r="A17" s="5">
        <v>2</v>
      </c>
      <c r="B17" s="22" t="s">
        <v>138</v>
      </c>
      <c r="C17" s="17" t="s">
        <v>308</v>
      </c>
      <c r="D17" s="22" t="s">
        <v>221</v>
      </c>
      <c r="E17" s="22" t="s">
        <v>361</v>
      </c>
      <c r="F17" s="33">
        <v>8439705</v>
      </c>
      <c r="G17" s="33">
        <v>881345</v>
      </c>
      <c r="H17" s="33">
        <v>4290408</v>
      </c>
      <c r="I17" s="33">
        <v>561771</v>
      </c>
      <c r="J17" s="33">
        <v>1576928</v>
      </c>
      <c r="K17" s="33">
        <v>6975411</v>
      </c>
      <c r="L17" s="28">
        <v>2.2200000000000002</v>
      </c>
      <c r="M17" s="31">
        <f>479596/6975411</f>
        <v>6.875523177057237E-2</v>
      </c>
      <c r="N17" s="33">
        <v>482438</v>
      </c>
      <c r="O17" s="33">
        <v>174514</v>
      </c>
      <c r="P17" s="33">
        <v>0</v>
      </c>
      <c r="Q17" s="33">
        <v>251797</v>
      </c>
      <c r="R17" s="33">
        <v>22499</v>
      </c>
      <c r="S17" s="33">
        <v>25869</v>
      </c>
      <c r="T17" s="33">
        <f>54556+4715</f>
        <v>59271</v>
      </c>
      <c r="U17" s="33">
        <v>25625</v>
      </c>
      <c r="V17" s="33">
        <v>90633</v>
      </c>
      <c r="W17" s="33">
        <v>5750</v>
      </c>
      <c r="X17" s="33">
        <v>0</v>
      </c>
      <c r="Y17" s="33">
        <f>8640+9298+9710</f>
        <v>27648</v>
      </c>
      <c r="Z17" s="33">
        <v>7058</v>
      </c>
      <c r="AA17" s="33">
        <v>721</v>
      </c>
      <c r="AB17" s="33">
        <v>6746</v>
      </c>
      <c r="AC17" s="33">
        <v>1949</v>
      </c>
      <c r="AD17" s="33">
        <v>10482</v>
      </c>
      <c r="AE17" s="33">
        <v>538024</v>
      </c>
      <c r="AF17" s="31">
        <f t="shared" si="5"/>
        <v>1.9482402272017606E-2</v>
      </c>
      <c r="AG17" s="33">
        <v>122177</v>
      </c>
      <c r="AH17" s="33">
        <v>122177</v>
      </c>
      <c r="AI17" s="33">
        <v>0</v>
      </c>
      <c r="AJ17" s="33">
        <v>19590</v>
      </c>
      <c r="AK17" s="33">
        <v>0</v>
      </c>
      <c r="AL17" s="33">
        <v>0</v>
      </c>
      <c r="AM17" s="33">
        <v>0</v>
      </c>
      <c r="AN17" s="33">
        <v>2004</v>
      </c>
      <c r="AO17" s="33">
        <v>2011</v>
      </c>
      <c r="AP17" s="35">
        <v>3</v>
      </c>
    </row>
    <row r="18" spans="1:42">
      <c r="A18" s="5">
        <v>2</v>
      </c>
      <c r="B18" s="22" t="s">
        <v>191</v>
      </c>
      <c r="C18" s="17" t="s">
        <v>489</v>
      </c>
      <c r="D18" s="22" t="s">
        <v>188</v>
      </c>
      <c r="E18" s="22" t="s">
        <v>361</v>
      </c>
      <c r="F18" s="33">
        <v>6034303</v>
      </c>
      <c r="G18" s="33">
        <v>894228</v>
      </c>
      <c r="H18" s="33">
        <v>3362445</v>
      </c>
      <c r="I18" s="33">
        <v>321428</v>
      </c>
      <c r="J18" s="33">
        <v>1764693</v>
      </c>
      <c r="K18" s="33">
        <v>6018694</v>
      </c>
      <c r="L18" s="28">
        <v>1.59</v>
      </c>
      <c r="M18" s="31">
        <f>379414/5871917</f>
        <v>6.4615014142740776E-2</v>
      </c>
      <c r="N18" s="33">
        <v>380505</v>
      </c>
      <c r="O18" s="33">
        <v>141609</v>
      </c>
      <c r="P18" s="33">
        <v>0</v>
      </c>
      <c r="Q18" s="33">
        <v>151568</v>
      </c>
      <c r="R18" s="33">
        <v>19839</v>
      </c>
      <c r="S18" s="33">
        <v>13261</v>
      </c>
      <c r="T18" s="33">
        <v>38401</v>
      </c>
      <c r="U18" s="33">
        <v>14575</v>
      </c>
      <c r="V18" s="33">
        <v>31174</v>
      </c>
      <c r="W18" s="33">
        <v>250</v>
      </c>
      <c r="X18" s="33">
        <v>7123</v>
      </c>
      <c r="Y18" s="33">
        <f>4913+12311+11524</f>
        <v>28748</v>
      </c>
      <c r="Z18" s="33">
        <v>9241</v>
      </c>
      <c r="AA18" s="33">
        <v>2403</v>
      </c>
      <c r="AB18" s="33">
        <v>937</v>
      </c>
      <c r="AC18" s="33">
        <v>50356</v>
      </c>
      <c r="AD18" s="33">
        <v>45362</v>
      </c>
      <c r="AE18" s="33">
        <v>380907</v>
      </c>
      <c r="AF18" s="31">
        <f t="shared" si="5"/>
        <v>0.11908943652912653</v>
      </c>
      <c r="AG18" s="33">
        <v>122177</v>
      </c>
      <c r="AH18" s="33">
        <v>122177</v>
      </c>
      <c r="AI18" s="33">
        <v>0</v>
      </c>
      <c r="AJ18" s="33">
        <v>71786</v>
      </c>
      <c r="AK18" s="33">
        <v>7032</v>
      </c>
      <c r="AL18" s="33">
        <v>7032</v>
      </c>
      <c r="AM18" s="33">
        <v>0</v>
      </c>
      <c r="AN18" s="33">
        <v>1942</v>
      </c>
      <c r="AO18" s="33">
        <v>1271</v>
      </c>
      <c r="AP18" s="35">
        <v>5</v>
      </c>
    </row>
    <row r="19" spans="1:42">
      <c r="A19" s="5">
        <v>2</v>
      </c>
      <c r="B19" s="22" t="s">
        <v>286</v>
      </c>
      <c r="C19" s="17" t="s">
        <v>428</v>
      </c>
      <c r="D19" s="22" t="s">
        <v>15</v>
      </c>
      <c r="E19" s="22" t="s">
        <v>361</v>
      </c>
      <c r="F19" s="33">
        <v>11200373</v>
      </c>
      <c r="G19" s="33">
        <v>473351</v>
      </c>
      <c r="H19" s="33">
        <v>4323215</v>
      </c>
      <c r="I19" s="33">
        <v>1291000</v>
      </c>
      <c r="J19" s="33">
        <v>3657855</v>
      </c>
      <c r="K19" s="33">
        <v>10554053</v>
      </c>
      <c r="L19" s="28">
        <v>1.42</v>
      </c>
      <c r="M19" s="31">
        <f>379332/10553303</f>
        <v>3.5944386321514699E-2</v>
      </c>
      <c r="N19" s="33">
        <v>375446</v>
      </c>
      <c r="O19" s="33">
        <v>269108</v>
      </c>
      <c r="P19" s="33">
        <v>0</v>
      </c>
      <c r="Q19" s="33">
        <v>204144</v>
      </c>
      <c r="R19" s="33">
        <v>22048</v>
      </c>
      <c r="S19" s="33">
        <v>14242</v>
      </c>
      <c r="T19" s="33">
        <f>38086+4555</f>
        <v>42641</v>
      </c>
      <c r="U19" s="33">
        <v>23623</v>
      </c>
      <c r="V19" s="33">
        <v>0</v>
      </c>
      <c r="W19" s="33">
        <v>7000</v>
      </c>
      <c r="X19" s="33">
        <v>397</v>
      </c>
      <c r="Y19" s="33">
        <f>9331+29977+21734</f>
        <v>61042</v>
      </c>
      <c r="Z19" s="33">
        <v>13745</v>
      </c>
      <c r="AA19" s="33">
        <f>3246+1147</f>
        <v>4393</v>
      </c>
      <c r="AB19" s="33">
        <v>2241</v>
      </c>
      <c r="AC19" s="33">
        <v>37565</v>
      </c>
      <c r="AD19" s="33">
        <v>26101</v>
      </c>
      <c r="AE19" s="33">
        <v>486788</v>
      </c>
      <c r="AF19" s="31">
        <f t="shared" si="5"/>
        <v>5.3618823800093675E-2</v>
      </c>
      <c r="AG19" s="33">
        <v>122177</v>
      </c>
      <c r="AH19" s="33">
        <v>122177</v>
      </c>
      <c r="AI19" s="33">
        <v>0</v>
      </c>
      <c r="AJ19" s="33">
        <v>71315</v>
      </c>
      <c r="AK19" s="33">
        <v>0</v>
      </c>
      <c r="AL19" s="33">
        <v>0</v>
      </c>
      <c r="AM19" s="33">
        <v>0</v>
      </c>
      <c r="AN19" s="33">
        <v>3352</v>
      </c>
      <c r="AO19" s="33">
        <v>3282</v>
      </c>
      <c r="AP19" s="35">
        <v>21</v>
      </c>
    </row>
    <row r="20" spans="1:42">
      <c r="A20" s="5">
        <v>2</v>
      </c>
      <c r="B20" s="22" t="s">
        <v>301</v>
      </c>
      <c r="C20" s="17" t="s">
        <v>325</v>
      </c>
      <c r="D20" s="22" t="s">
        <v>230</v>
      </c>
      <c r="E20" s="22" t="s">
        <v>361</v>
      </c>
      <c r="F20" s="33">
        <v>8861413</v>
      </c>
      <c r="G20" s="33">
        <v>871078</v>
      </c>
      <c r="H20" s="33">
        <v>4832377</v>
      </c>
      <c r="I20" s="33">
        <v>425675</v>
      </c>
      <c r="J20" s="33">
        <v>1433961</v>
      </c>
      <c r="K20" s="33">
        <v>7329297</v>
      </c>
      <c r="L20" s="28">
        <v>1.28</v>
      </c>
      <c r="M20" s="31">
        <f>490423/7329297</f>
        <v>6.6912692990883024E-2</v>
      </c>
      <c r="N20" s="33">
        <v>491303</v>
      </c>
      <c r="O20" s="33">
        <v>235454</v>
      </c>
      <c r="P20" s="33">
        <v>0</v>
      </c>
      <c r="Q20" s="33">
        <v>184649</v>
      </c>
      <c r="R20" s="33">
        <v>19172</v>
      </c>
      <c r="S20" s="33">
        <v>39268</v>
      </c>
      <c r="T20" s="33">
        <v>45600</v>
      </c>
      <c r="U20" s="33">
        <v>12067</v>
      </c>
      <c r="V20" s="33">
        <v>63221</v>
      </c>
      <c r="W20" s="33">
        <v>5750</v>
      </c>
      <c r="X20" s="33">
        <v>0</v>
      </c>
      <c r="Y20" s="33">
        <f>12677+12705+16110</f>
        <v>41492</v>
      </c>
      <c r="Z20" s="33">
        <v>4781</v>
      </c>
      <c r="AA20" s="33">
        <v>6689</v>
      </c>
      <c r="AB20" s="33">
        <v>0</v>
      </c>
      <c r="AC20" s="33">
        <v>65543</v>
      </c>
      <c r="AD20" s="33">
        <v>355708</v>
      </c>
      <c r="AE20" s="33">
        <v>522221</v>
      </c>
      <c r="AF20" s="31">
        <f t="shared" si="5"/>
        <v>0.68114457289155361</v>
      </c>
      <c r="AG20" s="33">
        <v>122177</v>
      </c>
      <c r="AH20" s="33">
        <v>122177</v>
      </c>
      <c r="AI20" s="33">
        <v>0</v>
      </c>
      <c r="AJ20" s="33">
        <v>115055</v>
      </c>
      <c r="AK20" s="33">
        <v>26277</v>
      </c>
      <c r="AL20" s="33">
        <v>26277</v>
      </c>
      <c r="AM20" s="33">
        <v>0</v>
      </c>
      <c r="AN20" s="33">
        <v>2378</v>
      </c>
      <c r="AO20" s="33">
        <v>1984</v>
      </c>
      <c r="AP20" s="35">
        <v>15</v>
      </c>
    </row>
    <row r="21" spans="1:42">
      <c r="A21" s="5">
        <v>2</v>
      </c>
      <c r="B21" s="22" t="s">
        <v>335</v>
      </c>
      <c r="C21" s="17" t="s">
        <v>16</v>
      </c>
      <c r="D21" s="22" t="s">
        <v>76</v>
      </c>
      <c r="E21" s="22" t="s">
        <v>361</v>
      </c>
      <c r="F21" s="33">
        <v>12820131</v>
      </c>
      <c r="G21" s="33">
        <v>372358</v>
      </c>
      <c r="H21" s="33">
        <v>6399996</v>
      </c>
      <c r="I21" s="33">
        <v>1382885</v>
      </c>
      <c r="J21" s="33">
        <v>3510042</v>
      </c>
      <c r="K21" s="33">
        <v>12548298</v>
      </c>
      <c r="L21" s="28">
        <v>0.54</v>
      </c>
      <c r="M21" s="31">
        <f>674993/12548298</f>
        <v>5.3791597872476414E-2</v>
      </c>
      <c r="N21" s="33">
        <v>678384</v>
      </c>
      <c r="O21" s="33">
        <v>322187</v>
      </c>
      <c r="P21" s="33">
        <v>0</v>
      </c>
      <c r="Q21" s="33">
        <v>336963</v>
      </c>
      <c r="R21" s="33">
        <v>29166</v>
      </c>
      <c r="S21" s="33">
        <v>77256</v>
      </c>
      <c r="T21" s="33">
        <v>23243</v>
      </c>
      <c r="U21" s="33">
        <v>12461</v>
      </c>
      <c r="V21" s="33">
        <v>153557</v>
      </c>
      <c r="W21" s="33">
        <v>7000</v>
      </c>
      <c r="X21" s="33">
        <v>0</v>
      </c>
      <c r="Y21" s="33">
        <f>5160+25863+13757</f>
        <v>44780</v>
      </c>
      <c r="Z21" s="33">
        <v>12178</v>
      </c>
      <c r="AA21" s="33">
        <f>1485+13</f>
        <v>1498</v>
      </c>
      <c r="AB21" s="33">
        <v>677</v>
      </c>
      <c r="AC21" s="33">
        <v>8982</v>
      </c>
      <c r="AD21" s="33">
        <v>3950</v>
      </c>
      <c r="AE21" s="33">
        <v>729909</v>
      </c>
      <c r="AF21" s="31">
        <f t="shared" si="5"/>
        <v>5.411633504998568E-3</v>
      </c>
      <c r="AG21" s="33">
        <v>122177</v>
      </c>
      <c r="AH21" s="33">
        <v>122177</v>
      </c>
      <c r="AI21" s="33">
        <v>0</v>
      </c>
      <c r="AJ21" s="33">
        <v>168304</v>
      </c>
      <c r="AK21" s="33">
        <v>44219</v>
      </c>
      <c r="AL21" s="33">
        <v>44219</v>
      </c>
      <c r="AM21" s="33">
        <v>0</v>
      </c>
      <c r="AN21" s="33">
        <v>4578</v>
      </c>
      <c r="AO21" s="33">
        <v>4679</v>
      </c>
      <c r="AP21" s="35">
        <v>193</v>
      </c>
    </row>
    <row r="22" spans="1:42">
      <c r="A22" s="5">
        <v>2</v>
      </c>
      <c r="B22" s="22" t="s">
        <v>414</v>
      </c>
      <c r="C22" s="17" t="s">
        <v>192</v>
      </c>
      <c r="D22" s="22" t="s">
        <v>430</v>
      </c>
      <c r="E22" s="22" t="s">
        <v>361</v>
      </c>
      <c r="F22" s="33">
        <v>7891512</v>
      </c>
      <c r="G22" s="33">
        <v>190464</v>
      </c>
      <c r="H22" s="33">
        <v>3395146</v>
      </c>
      <c r="I22" s="33">
        <v>785969</v>
      </c>
      <c r="J22" s="33">
        <v>2985498</v>
      </c>
      <c r="K22" s="33">
        <v>7831616</v>
      </c>
      <c r="L22" s="28">
        <v>1</v>
      </c>
      <c r="M22" s="31">
        <f>450318/7831616</f>
        <v>5.7500010215005434E-2</v>
      </c>
      <c r="N22" s="33">
        <v>450144</v>
      </c>
      <c r="O22" s="33">
        <v>141021</v>
      </c>
      <c r="P22" s="33">
        <v>0</v>
      </c>
      <c r="Q22" s="33">
        <v>191614</v>
      </c>
      <c r="R22" s="33">
        <v>13510</v>
      </c>
      <c r="S22" s="33">
        <v>22805</v>
      </c>
      <c r="T22" s="33">
        <f>40408+5223</f>
        <v>45631</v>
      </c>
      <c r="U22" s="33">
        <v>7687</v>
      </c>
      <c r="V22" s="33">
        <v>22677</v>
      </c>
      <c r="W22" s="33">
        <v>7000</v>
      </c>
      <c r="X22" s="33">
        <v>318</v>
      </c>
      <c r="Y22" s="33">
        <f>5399+15260+34339</f>
        <v>54998</v>
      </c>
      <c r="Z22" s="33">
        <v>5935</v>
      </c>
      <c r="AA22" s="33">
        <v>2189</v>
      </c>
      <c r="AB22" s="33">
        <v>1504</v>
      </c>
      <c r="AC22" s="33">
        <v>11154</v>
      </c>
      <c r="AD22" s="33">
        <v>0</v>
      </c>
      <c r="AE22" s="33">
        <v>424975</v>
      </c>
      <c r="AF22" s="31">
        <f t="shared" si="5"/>
        <v>0</v>
      </c>
      <c r="AG22" s="33">
        <v>122177</v>
      </c>
      <c r="AH22" s="33">
        <v>122177</v>
      </c>
      <c r="AI22" s="33">
        <v>0</v>
      </c>
      <c r="AJ22" s="33">
        <v>58131</v>
      </c>
      <c r="AK22" s="33">
        <v>0</v>
      </c>
      <c r="AL22" s="33">
        <v>0</v>
      </c>
      <c r="AM22" s="33">
        <v>0</v>
      </c>
      <c r="AN22" s="33">
        <v>1633</v>
      </c>
      <c r="AO22" s="33">
        <v>1846</v>
      </c>
      <c r="AP22" s="35">
        <v>41</v>
      </c>
    </row>
    <row r="23" spans="1:42">
      <c r="A23" s="5">
        <v>2</v>
      </c>
      <c r="B23" s="22" t="s">
        <v>436</v>
      </c>
      <c r="C23" s="17" t="s">
        <v>195</v>
      </c>
      <c r="D23" s="22" t="s">
        <v>211</v>
      </c>
      <c r="E23" s="22" t="s">
        <v>123</v>
      </c>
      <c r="F23" s="33">
        <v>4368192</v>
      </c>
      <c r="G23" s="33">
        <v>325076</v>
      </c>
      <c r="H23" s="33">
        <v>2640259</v>
      </c>
      <c r="I23" s="33">
        <v>628360</v>
      </c>
      <c r="J23" s="33">
        <v>515063</v>
      </c>
      <c r="K23" s="33">
        <v>4192348</v>
      </c>
      <c r="L23" s="28">
        <v>1.3</v>
      </c>
      <c r="M23" s="31">
        <f>241116/4191823</f>
        <v>5.7520558477779239E-2</v>
      </c>
      <c r="N23" s="33">
        <v>240211</v>
      </c>
      <c r="O23" s="33">
        <v>147549</v>
      </c>
      <c r="P23" s="33">
        <v>0</v>
      </c>
      <c r="Q23" s="33">
        <v>111266</v>
      </c>
      <c r="R23" s="33">
        <v>9559</v>
      </c>
      <c r="S23" s="33">
        <v>22363</v>
      </c>
      <c r="T23" s="33">
        <v>20948</v>
      </c>
      <c r="U23" s="33">
        <v>2379</v>
      </c>
      <c r="V23" s="33">
        <v>2747</v>
      </c>
      <c r="W23" s="33">
        <v>5750</v>
      </c>
      <c r="X23" s="33">
        <v>567</v>
      </c>
      <c r="Y23" s="33">
        <f>5807+4778+4428</f>
        <v>15013</v>
      </c>
      <c r="Z23" s="33">
        <v>4769</v>
      </c>
      <c r="AA23" s="33">
        <v>0</v>
      </c>
      <c r="AB23" s="33">
        <v>300</v>
      </c>
      <c r="AC23" s="33">
        <v>614</v>
      </c>
      <c r="AD23" s="33">
        <v>173543</v>
      </c>
      <c r="AE23" s="33">
        <v>203530</v>
      </c>
      <c r="AF23" s="31">
        <f t="shared" si="5"/>
        <v>0.85266545472411925</v>
      </c>
      <c r="AG23" s="33">
        <v>122177</v>
      </c>
      <c r="AH23" s="33">
        <v>122177</v>
      </c>
      <c r="AI23" s="33">
        <v>0</v>
      </c>
      <c r="AJ23" s="33">
        <v>71706</v>
      </c>
      <c r="AK23" s="33">
        <v>37106</v>
      </c>
      <c r="AL23" s="33">
        <v>37106</v>
      </c>
      <c r="AM23" s="33">
        <v>0</v>
      </c>
      <c r="AN23" s="33">
        <v>974</v>
      </c>
      <c r="AO23" s="33">
        <v>943</v>
      </c>
      <c r="AP23" s="35">
        <v>0</v>
      </c>
    </row>
    <row r="24" spans="1:42">
      <c r="A24" s="5">
        <v>2</v>
      </c>
      <c r="B24" s="22" t="s">
        <v>454</v>
      </c>
      <c r="C24" s="17" t="s">
        <v>245</v>
      </c>
      <c r="D24" s="22" t="s">
        <v>538</v>
      </c>
      <c r="E24" s="22" t="s">
        <v>361</v>
      </c>
      <c r="F24" s="33">
        <v>7412923</v>
      </c>
      <c r="G24" s="33">
        <v>2105759</v>
      </c>
      <c r="H24" s="33">
        <v>1966618</v>
      </c>
      <c r="I24" s="33">
        <v>1305496</v>
      </c>
      <c r="J24" s="33">
        <v>1393367</v>
      </c>
      <c r="K24" s="33">
        <v>5220173</v>
      </c>
      <c r="L24" s="28">
        <v>6</v>
      </c>
      <c r="M24" s="31">
        <f>412500/5171293</f>
        <v>7.9767284506988875E-2</v>
      </c>
      <c r="N24" s="33">
        <v>413010</v>
      </c>
      <c r="O24" s="33">
        <v>217</v>
      </c>
      <c r="P24" s="33">
        <v>0</v>
      </c>
      <c r="Q24" s="33">
        <v>139474</v>
      </c>
      <c r="R24" s="33">
        <v>12553</v>
      </c>
      <c r="S24" s="33">
        <v>5450</v>
      </c>
      <c r="T24" s="33">
        <v>63497</v>
      </c>
      <c r="U24" s="33">
        <v>25200</v>
      </c>
      <c r="V24" s="33">
        <v>7377</v>
      </c>
      <c r="W24" s="33">
        <v>5750</v>
      </c>
      <c r="X24" s="33">
        <v>0</v>
      </c>
      <c r="Y24" s="33">
        <f>6817+8112+5791</f>
        <v>20720</v>
      </c>
      <c r="Z24" s="33">
        <v>0</v>
      </c>
      <c r="AA24" s="33">
        <v>1207</v>
      </c>
      <c r="AB24" s="33">
        <v>367</v>
      </c>
      <c r="AC24" s="33">
        <v>0</v>
      </c>
      <c r="AD24" s="33">
        <v>260651</v>
      </c>
      <c r="AE24" s="33">
        <v>309212</v>
      </c>
      <c r="AF24" s="31">
        <f t="shared" si="5"/>
        <v>0.84295240805660843</v>
      </c>
      <c r="AG24" s="33">
        <v>127731</v>
      </c>
      <c r="AH24" s="33">
        <v>122177</v>
      </c>
      <c r="AI24" s="33">
        <v>5554</v>
      </c>
      <c r="AJ24" s="33">
        <v>40438</v>
      </c>
      <c r="AK24" s="33">
        <v>0</v>
      </c>
      <c r="AL24" s="33">
        <v>0</v>
      </c>
      <c r="AM24" s="33">
        <v>0</v>
      </c>
      <c r="AN24" s="33">
        <v>2639</v>
      </c>
      <c r="AO24" s="33">
        <v>2523</v>
      </c>
      <c r="AP24" s="35">
        <v>63</v>
      </c>
    </row>
    <row r="25" spans="1:42">
      <c r="A25" s="5">
        <v>2</v>
      </c>
      <c r="B25" s="22" t="s">
        <v>465</v>
      </c>
      <c r="C25" s="17" t="s">
        <v>244</v>
      </c>
      <c r="D25" s="22" t="s">
        <v>542</v>
      </c>
      <c r="E25" s="22" t="s">
        <v>525</v>
      </c>
      <c r="F25" s="33">
        <v>339078</v>
      </c>
      <c r="G25" s="33">
        <v>3193</v>
      </c>
      <c r="H25" s="33">
        <v>221833</v>
      </c>
      <c r="I25" s="33">
        <v>53003</v>
      </c>
      <c r="J25" s="33">
        <v>11742</v>
      </c>
      <c r="K25" s="33">
        <v>325624</v>
      </c>
      <c r="L25" s="28">
        <v>1.63</v>
      </c>
      <c r="M25" s="31">
        <v>0.1</v>
      </c>
      <c r="N25" s="33">
        <v>28602</v>
      </c>
      <c r="O25" s="33">
        <v>2493</v>
      </c>
      <c r="P25" s="33">
        <v>0</v>
      </c>
      <c r="Q25" s="33">
        <v>2194</v>
      </c>
      <c r="R25" s="33">
        <v>168</v>
      </c>
      <c r="S25" s="33">
        <v>667</v>
      </c>
      <c r="T25" s="33">
        <v>1430</v>
      </c>
      <c r="U25" s="33">
        <v>0</v>
      </c>
      <c r="V25" s="33">
        <v>2213</v>
      </c>
      <c r="W25" s="33">
        <v>0</v>
      </c>
      <c r="X25" s="33">
        <v>0</v>
      </c>
      <c r="Y25" s="33">
        <f>780+1465+940</f>
        <v>3185</v>
      </c>
      <c r="Z25" s="33">
        <v>3147</v>
      </c>
      <c r="AA25" s="33">
        <f>994+130+6</f>
        <v>1130</v>
      </c>
      <c r="AB25" s="33">
        <v>712</v>
      </c>
      <c r="AC25" s="33">
        <v>0</v>
      </c>
      <c r="AD25" s="33">
        <v>11655</v>
      </c>
      <c r="AE25" s="33">
        <v>15720</v>
      </c>
      <c r="AF25" s="31">
        <f t="shared" si="5"/>
        <v>0.74141221374045807</v>
      </c>
      <c r="AG25" s="33">
        <v>14783</v>
      </c>
      <c r="AH25" s="33">
        <v>14783</v>
      </c>
      <c r="AI25" s="33">
        <v>0</v>
      </c>
      <c r="AJ25" s="33">
        <v>1605</v>
      </c>
      <c r="AK25" s="33">
        <v>0</v>
      </c>
      <c r="AL25" s="33">
        <v>0</v>
      </c>
      <c r="AM25" s="33">
        <v>0</v>
      </c>
      <c r="AN25" s="33">
        <v>67</v>
      </c>
      <c r="AO25" s="33">
        <v>68</v>
      </c>
      <c r="AP25" s="35">
        <v>0</v>
      </c>
    </row>
    <row r="26" spans="1:42">
      <c r="A26" s="5">
        <v>2</v>
      </c>
      <c r="B26" s="22" t="s">
        <v>495</v>
      </c>
      <c r="C26" s="17" t="s">
        <v>310</v>
      </c>
      <c r="D26" s="22" t="s">
        <v>533</v>
      </c>
      <c r="E26" s="22" t="s">
        <v>361</v>
      </c>
      <c r="F26" s="33">
        <v>3441716</v>
      </c>
      <c r="G26" s="33">
        <v>179021</v>
      </c>
      <c r="H26" s="33">
        <v>1362936</v>
      </c>
      <c r="I26" s="33">
        <v>545392</v>
      </c>
      <c r="J26" s="33">
        <v>841883</v>
      </c>
      <c r="K26" s="33">
        <v>3269159</v>
      </c>
      <c r="L26" s="28">
        <v>1.82</v>
      </c>
      <c r="M26" s="31">
        <f>310570/3269159</f>
        <v>9.4999967881647843E-2</v>
      </c>
      <c r="N26" s="33">
        <v>310142</v>
      </c>
      <c r="O26" s="33">
        <v>22656</v>
      </c>
      <c r="P26" s="33">
        <v>0</v>
      </c>
      <c r="Q26" s="33">
        <v>91705</v>
      </c>
      <c r="R26" s="33">
        <v>6139</v>
      </c>
      <c r="S26" s="33">
        <v>2349</v>
      </c>
      <c r="T26" s="33">
        <v>10859</v>
      </c>
      <c r="U26" s="33">
        <v>5675</v>
      </c>
      <c r="V26" s="33">
        <v>38751</v>
      </c>
      <c r="W26" s="33">
        <v>5750</v>
      </c>
      <c r="X26" s="33">
        <v>0</v>
      </c>
      <c r="Y26" s="33">
        <f>3561+8693+4520</f>
        <v>16774</v>
      </c>
      <c r="Z26" s="33">
        <v>4084</v>
      </c>
      <c r="AA26" s="33">
        <v>2172</v>
      </c>
      <c r="AB26" s="33">
        <v>0</v>
      </c>
      <c r="AC26" s="33">
        <v>1433</v>
      </c>
      <c r="AD26" s="33">
        <v>0</v>
      </c>
      <c r="AE26" s="33">
        <v>197495</v>
      </c>
      <c r="AF26" s="31">
        <f t="shared" si="5"/>
        <v>0</v>
      </c>
      <c r="AG26" s="33">
        <v>122177</v>
      </c>
      <c r="AH26" s="33">
        <v>122177</v>
      </c>
      <c r="AI26" s="33">
        <v>0</v>
      </c>
      <c r="AJ26" s="33">
        <v>29839</v>
      </c>
      <c r="AK26" s="33">
        <v>0</v>
      </c>
      <c r="AL26" s="33">
        <v>0</v>
      </c>
      <c r="AM26" s="33">
        <v>0</v>
      </c>
      <c r="AN26" s="33">
        <v>800</v>
      </c>
      <c r="AO26" s="33">
        <v>855</v>
      </c>
      <c r="AP26" s="35">
        <v>22</v>
      </c>
    </row>
    <row r="27" spans="1:42">
      <c r="A27" s="5">
        <v>2</v>
      </c>
      <c r="B27" s="22" t="s">
        <v>535</v>
      </c>
      <c r="C27" s="17" t="s">
        <v>451</v>
      </c>
      <c r="D27" s="22" t="s">
        <v>432</v>
      </c>
      <c r="E27" s="22" t="s">
        <v>361</v>
      </c>
      <c r="F27" s="33">
        <v>2302110</v>
      </c>
      <c r="G27" s="33">
        <v>101852</v>
      </c>
      <c r="H27" s="33">
        <v>1391486</v>
      </c>
      <c r="I27" s="33">
        <v>210973</v>
      </c>
      <c r="J27" s="33">
        <v>378592</v>
      </c>
      <c r="K27" s="33">
        <v>2217694</v>
      </c>
      <c r="L27" s="28">
        <v>0.47</v>
      </c>
      <c r="M27" s="31">
        <f>221769/2217694</f>
        <v>9.999981963246507E-2</v>
      </c>
      <c r="N27" s="33">
        <v>219951</v>
      </c>
      <c r="O27" s="33">
        <v>18927</v>
      </c>
      <c r="P27" s="33">
        <v>0</v>
      </c>
      <c r="Q27" s="33">
        <v>86331</v>
      </c>
      <c r="R27" s="33">
        <v>0</v>
      </c>
      <c r="S27" s="33">
        <v>0</v>
      </c>
      <c r="T27" s="33">
        <v>16445</v>
      </c>
      <c r="U27" s="33">
        <v>10423</v>
      </c>
      <c r="V27" s="33">
        <v>0</v>
      </c>
      <c r="W27" s="33">
        <v>5250</v>
      </c>
      <c r="X27" s="33">
        <v>0</v>
      </c>
      <c r="Y27" s="33">
        <f>4329+3554+4248</f>
        <v>12131</v>
      </c>
      <c r="Z27" s="33">
        <v>1560</v>
      </c>
      <c r="AA27" s="33">
        <v>879</v>
      </c>
      <c r="AB27" s="33">
        <v>15773</v>
      </c>
      <c r="AC27" s="33">
        <v>0</v>
      </c>
      <c r="AD27" s="33">
        <v>126243</v>
      </c>
      <c r="AE27" s="33">
        <v>155252</v>
      </c>
      <c r="AF27" s="31">
        <f t="shared" si="5"/>
        <v>0.81314894494112799</v>
      </c>
      <c r="AG27" s="33">
        <v>89357</v>
      </c>
      <c r="AH27" s="33">
        <v>89357</v>
      </c>
      <c r="AI27" s="33">
        <v>0</v>
      </c>
      <c r="AJ27" s="33">
        <v>2566</v>
      </c>
      <c r="AK27" s="33">
        <v>0</v>
      </c>
      <c r="AL27" s="33">
        <v>0</v>
      </c>
      <c r="AM27" s="33">
        <v>42286</v>
      </c>
      <c r="AN27" s="33">
        <v>530</v>
      </c>
      <c r="AO27" s="33">
        <v>451</v>
      </c>
      <c r="AP27" s="35">
        <v>0</v>
      </c>
    </row>
    <row r="28" spans="1:42">
      <c r="A28" s="5">
        <v>3</v>
      </c>
      <c r="B28" s="22" t="s">
        <v>136</v>
      </c>
      <c r="C28" s="17" t="s">
        <v>93</v>
      </c>
      <c r="D28" s="22" t="s">
        <v>208</v>
      </c>
      <c r="E28" s="22" t="s">
        <v>377</v>
      </c>
      <c r="F28" s="33">
        <v>5816404</v>
      </c>
      <c r="G28" s="33">
        <v>373721</v>
      </c>
      <c r="H28" s="33">
        <v>2127447</v>
      </c>
      <c r="I28" s="33">
        <v>2442196</v>
      </c>
      <c r="J28" s="33">
        <v>1315257</v>
      </c>
      <c r="K28" s="33">
        <v>6672259</v>
      </c>
      <c r="L28" s="28">
        <v>2.86</v>
      </c>
      <c r="M28" s="31">
        <f>335200/6665794</f>
        <v>5.0286582513651035E-2</v>
      </c>
      <c r="N28" s="33">
        <v>330140</v>
      </c>
      <c r="O28" s="33">
        <v>58916</v>
      </c>
      <c r="P28" s="33">
        <v>0</v>
      </c>
      <c r="Q28" s="33">
        <v>116895</v>
      </c>
      <c r="R28" s="33">
        <v>10621</v>
      </c>
      <c r="S28" s="33">
        <v>4875</v>
      </c>
      <c r="T28" s="33">
        <f>9884+1247</f>
        <v>11131</v>
      </c>
      <c r="U28" s="33">
        <v>9940</v>
      </c>
      <c r="V28" s="33">
        <v>14861</v>
      </c>
      <c r="W28" s="33">
        <v>7250</v>
      </c>
      <c r="X28" s="33">
        <v>13218</v>
      </c>
      <c r="Y28" s="33">
        <f>3218+9357+7402</f>
        <v>19977</v>
      </c>
      <c r="Z28" s="33">
        <v>2396</v>
      </c>
      <c r="AA28" s="33">
        <v>2349</v>
      </c>
      <c r="AB28" s="33">
        <v>0</v>
      </c>
      <c r="AC28" s="33">
        <v>22105</v>
      </c>
      <c r="AD28" s="33">
        <v>61453</v>
      </c>
      <c r="AE28" s="33">
        <v>263054</v>
      </c>
      <c r="AF28" s="31">
        <f t="shared" si="5"/>
        <v>0.2336136306613851</v>
      </c>
      <c r="AG28" s="33">
        <v>122177</v>
      </c>
      <c r="AH28" s="33">
        <v>122177</v>
      </c>
      <c r="AI28" s="33">
        <v>0</v>
      </c>
      <c r="AJ28" s="33">
        <v>38192</v>
      </c>
      <c r="AK28" s="33">
        <v>0</v>
      </c>
      <c r="AL28" s="33">
        <v>0</v>
      </c>
      <c r="AM28" s="33">
        <v>0</v>
      </c>
      <c r="AN28" s="33">
        <v>1855</v>
      </c>
      <c r="AO28" s="33">
        <v>1842</v>
      </c>
      <c r="AP28" s="35">
        <v>0</v>
      </c>
    </row>
    <row r="29" spans="1:42">
      <c r="A29" s="5">
        <v>3</v>
      </c>
      <c r="B29" s="22" t="s">
        <v>185</v>
      </c>
      <c r="C29" s="17" t="s">
        <v>189</v>
      </c>
      <c r="D29" s="22" t="s">
        <v>395</v>
      </c>
      <c r="E29" s="22" t="s">
        <v>377</v>
      </c>
      <c r="F29" s="33">
        <v>15433419</v>
      </c>
      <c r="G29" s="33">
        <v>427514</v>
      </c>
      <c r="H29" s="33">
        <v>10403822</v>
      </c>
      <c r="I29" s="33">
        <v>1440902</v>
      </c>
      <c r="J29" s="33">
        <v>1938179</v>
      </c>
      <c r="K29" s="33">
        <v>14668918</v>
      </c>
      <c r="L29" s="28">
        <v>0.76</v>
      </c>
      <c r="M29" s="31">
        <f>565296/14659792</f>
        <v>3.8560983675621045E-2</v>
      </c>
      <c r="N29" s="33">
        <v>560078</v>
      </c>
      <c r="O29" s="33">
        <v>294429</v>
      </c>
      <c r="P29" s="33">
        <v>25000</v>
      </c>
      <c r="Q29" s="33">
        <v>350645</v>
      </c>
      <c r="R29" s="33">
        <v>30198</v>
      </c>
      <c r="S29" s="33">
        <v>35652</v>
      </c>
      <c r="T29" s="33">
        <f>90036+693</f>
        <v>90729</v>
      </c>
      <c r="U29" s="33">
        <v>21047</v>
      </c>
      <c r="V29" s="33">
        <v>0</v>
      </c>
      <c r="W29" s="33">
        <v>5750</v>
      </c>
      <c r="X29" s="33">
        <v>607</v>
      </c>
      <c r="Y29" s="33">
        <f>9675+21043+25767</f>
        <v>56485</v>
      </c>
      <c r="Z29" s="33">
        <v>4557</v>
      </c>
      <c r="AA29" s="33">
        <f>1425+640+431</f>
        <v>2496</v>
      </c>
      <c r="AB29" s="33">
        <v>1524</v>
      </c>
      <c r="AC29" s="33">
        <v>30092</v>
      </c>
      <c r="AD29" s="33">
        <v>0</v>
      </c>
      <c r="AE29" s="33">
        <v>683554</v>
      </c>
      <c r="AF29" s="31">
        <f t="shared" si="5"/>
        <v>0</v>
      </c>
      <c r="AG29" s="33">
        <v>122177</v>
      </c>
      <c r="AH29" s="33">
        <v>122177</v>
      </c>
      <c r="AI29" s="33">
        <v>0</v>
      </c>
      <c r="AJ29" s="33">
        <v>99919</v>
      </c>
      <c r="AK29" s="33">
        <v>16285</v>
      </c>
      <c r="AL29" s="33">
        <v>0</v>
      </c>
      <c r="AM29" s="33">
        <v>0</v>
      </c>
      <c r="AN29" s="33">
        <v>2035</v>
      </c>
      <c r="AO29" s="33">
        <v>1886</v>
      </c>
      <c r="AP29" s="35">
        <v>4</v>
      </c>
    </row>
    <row r="30" spans="1:42">
      <c r="A30" s="5">
        <v>3</v>
      </c>
      <c r="B30" s="22" t="s">
        <v>252</v>
      </c>
      <c r="C30" s="17" t="s">
        <v>325</v>
      </c>
      <c r="D30" s="22" t="s">
        <v>544</v>
      </c>
      <c r="E30" s="22" t="s">
        <v>132</v>
      </c>
      <c r="F30" s="33">
        <v>3375890</v>
      </c>
      <c r="G30" s="33">
        <v>184941</v>
      </c>
      <c r="H30" s="33">
        <v>1573804</v>
      </c>
      <c r="I30" s="33">
        <v>473179</v>
      </c>
      <c r="J30" s="33">
        <v>562154</v>
      </c>
      <c r="K30" s="33">
        <v>2927188</v>
      </c>
      <c r="L30" s="28">
        <v>1.67</v>
      </c>
      <c r="M30" s="31">
        <f>189547/2922138</f>
        <v>6.4865861913434616E-2</v>
      </c>
      <c r="N30" s="33">
        <v>190503</v>
      </c>
      <c r="O30" s="33">
        <v>72574</v>
      </c>
      <c r="P30" s="33">
        <v>0</v>
      </c>
      <c r="Q30" s="33">
        <v>68060</v>
      </c>
      <c r="R30" s="33">
        <v>5543</v>
      </c>
      <c r="S30" s="33">
        <v>7294</v>
      </c>
      <c r="T30" s="33">
        <v>15000</v>
      </c>
      <c r="U30" s="33">
        <v>15226</v>
      </c>
      <c r="V30" s="33">
        <v>0</v>
      </c>
      <c r="W30" s="33">
        <v>5750</v>
      </c>
      <c r="X30" s="33">
        <v>0</v>
      </c>
      <c r="Y30" s="33">
        <f>1696+6302+3797</f>
        <v>11795</v>
      </c>
      <c r="Z30" s="33">
        <v>2750</v>
      </c>
      <c r="AA30" s="33">
        <v>0</v>
      </c>
      <c r="AB30" s="33">
        <v>3600</v>
      </c>
      <c r="AC30" s="33">
        <v>1727</v>
      </c>
      <c r="AD30" s="33">
        <v>68224</v>
      </c>
      <c r="AE30" s="33">
        <v>147302</v>
      </c>
      <c r="AF30" s="31">
        <f t="shared" si="5"/>
        <v>0.46315732305060353</v>
      </c>
      <c r="AG30" s="33">
        <v>122176</v>
      </c>
      <c r="AH30" s="33">
        <v>122176</v>
      </c>
      <c r="AI30" s="33">
        <v>0</v>
      </c>
      <c r="AJ30" s="33">
        <v>21989</v>
      </c>
      <c r="AK30" s="33">
        <v>0</v>
      </c>
      <c r="AL30" s="33">
        <v>0</v>
      </c>
      <c r="AM30" s="33">
        <v>0</v>
      </c>
      <c r="AN30" s="33">
        <v>1127</v>
      </c>
      <c r="AO30" s="33">
        <v>1130</v>
      </c>
      <c r="AP30" s="35">
        <v>9</v>
      </c>
    </row>
    <row r="31" spans="1:42">
      <c r="A31" s="5">
        <v>3</v>
      </c>
      <c r="B31" s="22" t="s">
        <v>415</v>
      </c>
      <c r="C31" s="17" t="s">
        <v>178</v>
      </c>
      <c r="D31" s="22" t="s">
        <v>409</v>
      </c>
      <c r="E31" s="22" t="s">
        <v>377</v>
      </c>
      <c r="F31" s="33">
        <v>5769566</v>
      </c>
      <c r="G31" s="33">
        <v>417492</v>
      </c>
      <c r="H31" s="33">
        <v>2550873</v>
      </c>
      <c r="I31" s="33">
        <v>1173176</v>
      </c>
      <c r="J31" s="33">
        <v>817078</v>
      </c>
      <c r="K31" s="33">
        <v>5145285</v>
      </c>
      <c r="L31" s="28">
        <v>2.8</v>
      </c>
      <c r="M31" s="31">
        <f>420774/5100300</f>
        <v>8.249985294982648E-2</v>
      </c>
      <c r="N31" s="33">
        <v>417919</v>
      </c>
      <c r="O31" s="33">
        <v>119063</v>
      </c>
      <c r="P31" s="33">
        <v>0</v>
      </c>
      <c r="Q31" s="33">
        <v>236527</v>
      </c>
      <c r="R31" s="33">
        <v>17033</v>
      </c>
      <c r="S31" s="33">
        <v>51349</v>
      </c>
      <c r="T31" s="33">
        <f>20871+2629</f>
        <v>23500</v>
      </c>
      <c r="U31" s="33">
        <v>1250</v>
      </c>
      <c r="V31" s="33">
        <v>14417</v>
      </c>
      <c r="W31" s="33">
        <v>7000</v>
      </c>
      <c r="X31" s="33">
        <v>0</v>
      </c>
      <c r="Y31" s="33">
        <f>9237+11764+13888</f>
        <v>34889</v>
      </c>
      <c r="Z31" s="33">
        <v>1931</v>
      </c>
      <c r="AA31" s="33">
        <v>2635</v>
      </c>
      <c r="AB31" s="33">
        <v>23736</v>
      </c>
      <c r="AC31" s="33">
        <v>6537</v>
      </c>
      <c r="AD31" s="33">
        <v>90873</v>
      </c>
      <c r="AE31" s="33">
        <v>480498</v>
      </c>
      <c r="AF31" s="31">
        <f t="shared" si="5"/>
        <v>0.18912253536955409</v>
      </c>
      <c r="AG31" s="33">
        <v>122178</v>
      </c>
      <c r="AH31" s="33">
        <v>122177</v>
      </c>
      <c r="AI31" s="33">
        <v>1</v>
      </c>
      <c r="AJ31" s="33">
        <v>42553</v>
      </c>
      <c r="AK31" s="33">
        <v>0</v>
      </c>
      <c r="AL31" s="33">
        <v>1</v>
      </c>
      <c r="AM31" s="33">
        <v>0</v>
      </c>
      <c r="AN31" s="33">
        <v>2103</v>
      </c>
      <c r="AO31" s="33">
        <v>1831</v>
      </c>
      <c r="AP31" s="35">
        <v>0</v>
      </c>
    </row>
    <row r="32" spans="1:42">
      <c r="A32" s="5">
        <v>3</v>
      </c>
      <c r="B32" s="22" t="s">
        <v>460</v>
      </c>
      <c r="C32" s="17" t="s">
        <v>249</v>
      </c>
      <c r="D32" s="22" t="s">
        <v>534</v>
      </c>
      <c r="E32" s="22" t="s">
        <v>356</v>
      </c>
      <c r="F32" s="33">
        <v>9347776</v>
      </c>
      <c r="G32" s="33">
        <v>1143446</v>
      </c>
      <c r="H32" s="33">
        <v>4339536</v>
      </c>
      <c r="I32" s="33">
        <v>1286254</v>
      </c>
      <c r="J32" s="33">
        <v>1898516</v>
      </c>
      <c r="K32" s="33">
        <v>8325461</v>
      </c>
      <c r="L32" s="28">
        <v>2.13</v>
      </c>
      <c r="M32" s="31">
        <v>6.59E-2</v>
      </c>
      <c r="N32" s="33">
        <v>548392</v>
      </c>
      <c r="O32" s="33">
        <v>140980</v>
      </c>
      <c r="P32" s="33">
        <v>0</v>
      </c>
      <c r="Q32" s="33">
        <v>260105</v>
      </c>
      <c r="R32" s="33">
        <v>32403</v>
      </c>
      <c r="S32" s="33">
        <v>43205</v>
      </c>
      <c r="T32" s="33">
        <v>41649</v>
      </c>
      <c r="U32" s="33">
        <v>7923</v>
      </c>
      <c r="V32" s="33">
        <v>39745</v>
      </c>
      <c r="W32" s="33">
        <v>6600</v>
      </c>
      <c r="X32" s="33">
        <v>32910</v>
      </c>
      <c r="Y32" s="33">
        <f>3972+10947+13159</f>
        <v>28078</v>
      </c>
      <c r="Z32" s="33">
        <v>1393</v>
      </c>
      <c r="AA32" s="33">
        <v>2409</v>
      </c>
      <c r="AB32" s="33">
        <v>6606</v>
      </c>
      <c r="AC32" s="33">
        <v>15667</v>
      </c>
      <c r="AD32" s="33">
        <v>134181</v>
      </c>
      <c r="AE32" s="33">
        <v>543488</v>
      </c>
      <c r="AF32" s="31">
        <f t="shared" si="5"/>
        <v>0.24688861575600565</v>
      </c>
      <c r="AG32" s="33">
        <v>122176</v>
      </c>
      <c r="AH32" s="33">
        <v>122176</v>
      </c>
      <c r="AI32" s="33">
        <v>0</v>
      </c>
      <c r="AJ32" s="33">
        <v>61613</v>
      </c>
      <c r="AK32" s="33">
        <v>0</v>
      </c>
      <c r="AL32" s="33">
        <v>0</v>
      </c>
      <c r="AM32" s="33">
        <v>0</v>
      </c>
      <c r="AN32" s="33">
        <v>3651</v>
      </c>
      <c r="AO32" s="33">
        <v>3214</v>
      </c>
      <c r="AP32" s="35">
        <v>12</v>
      </c>
    </row>
    <row r="33" spans="1:42">
      <c r="A33" s="5">
        <v>3</v>
      </c>
      <c r="B33" s="22" t="s">
        <v>477</v>
      </c>
      <c r="C33" s="17" t="s">
        <v>150</v>
      </c>
      <c r="D33" s="22" t="s">
        <v>391</v>
      </c>
      <c r="E33" s="22" t="s">
        <v>377</v>
      </c>
      <c r="F33" s="33">
        <v>13289564</v>
      </c>
      <c r="G33" s="33">
        <v>1206759</v>
      </c>
      <c r="H33" s="33">
        <v>8288297</v>
      </c>
      <c r="I33" s="33">
        <v>636547</v>
      </c>
      <c r="J33" s="33">
        <v>1382085</v>
      </c>
      <c r="K33" s="33">
        <v>11717401</v>
      </c>
      <c r="L33" s="28">
        <v>2.9</v>
      </c>
      <c r="M33" s="31">
        <f>733485/11692520</f>
        <v>6.2731130671574653E-2</v>
      </c>
      <c r="N33" s="33">
        <v>758847</v>
      </c>
      <c r="O33" s="33">
        <v>147461</v>
      </c>
      <c r="P33" s="33">
        <v>0</v>
      </c>
      <c r="Q33" s="33">
        <v>371102</v>
      </c>
      <c r="R33" s="33">
        <v>31688</v>
      </c>
      <c r="S33" s="33">
        <v>77051</v>
      </c>
      <c r="T33" s="33">
        <v>57291</v>
      </c>
      <c r="U33" s="33">
        <v>28900</v>
      </c>
      <c r="V33" s="33">
        <v>48355</v>
      </c>
      <c r="W33" s="33">
        <v>9250</v>
      </c>
      <c r="X33" s="33">
        <v>0</v>
      </c>
      <c r="Y33" s="33">
        <f>7961+32491+19703</f>
        <v>60155</v>
      </c>
      <c r="Z33" s="33">
        <v>2759</v>
      </c>
      <c r="AA33" s="33">
        <v>4318</v>
      </c>
      <c r="AB33" s="33">
        <v>9986</v>
      </c>
      <c r="AC33" s="33">
        <v>3147</v>
      </c>
      <c r="AD33" s="33">
        <v>0</v>
      </c>
      <c r="AE33" s="33">
        <v>735534</v>
      </c>
      <c r="AF33" s="31">
        <f t="shared" si="5"/>
        <v>0</v>
      </c>
      <c r="AG33" s="33">
        <v>122177</v>
      </c>
      <c r="AH33" s="33">
        <v>122177</v>
      </c>
      <c r="AI33" s="33">
        <v>0</v>
      </c>
      <c r="AJ33" s="33">
        <v>91982</v>
      </c>
      <c r="AK33" s="33">
        <v>0</v>
      </c>
      <c r="AL33" s="33">
        <v>0</v>
      </c>
      <c r="AM33" s="33">
        <v>0</v>
      </c>
      <c r="AN33" s="33">
        <v>6654</v>
      </c>
      <c r="AO33" s="33">
        <v>7065</v>
      </c>
      <c r="AP33" s="35">
        <v>12</v>
      </c>
    </row>
    <row r="34" spans="1:42">
      <c r="A34" s="5">
        <v>3</v>
      </c>
      <c r="B34" s="22" t="s">
        <v>548</v>
      </c>
      <c r="C34" s="17" t="s">
        <v>428</v>
      </c>
      <c r="D34" s="22" t="s">
        <v>305</v>
      </c>
      <c r="E34" s="22" t="s">
        <v>356</v>
      </c>
      <c r="F34" s="33">
        <v>22787958</v>
      </c>
      <c r="G34" s="33">
        <v>1180478</v>
      </c>
      <c r="H34" s="33">
        <v>13506896</v>
      </c>
      <c r="I34" s="33">
        <v>2407608</v>
      </c>
      <c r="J34" s="33">
        <v>3344631</v>
      </c>
      <c r="K34" s="33">
        <v>21219641</v>
      </c>
      <c r="L34" s="28">
        <v>1.69</v>
      </c>
      <c r="M34" s="31">
        <f>955411/21135044</f>
        <v>4.5205063211602496E-2</v>
      </c>
      <c r="N34" s="33">
        <v>954634</v>
      </c>
      <c r="O34" s="33">
        <v>378931</v>
      </c>
      <c r="P34" s="33">
        <v>0</v>
      </c>
      <c r="Q34" s="33">
        <v>544229</v>
      </c>
      <c r="R34" s="33">
        <v>54984</v>
      </c>
      <c r="S34" s="33">
        <v>108515</v>
      </c>
      <c r="T34" s="33">
        <f>83584+12892</f>
        <v>96476</v>
      </c>
      <c r="U34" s="33">
        <v>49477</v>
      </c>
      <c r="V34" s="33">
        <v>15416</v>
      </c>
      <c r="W34" s="33">
        <v>9250</v>
      </c>
      <c r="X34" s="33">
        <v>138433</v>
      </c>
      <c r="Y34" s="33">
        <f>32891+42194+42985</f>
        <v>118070</v>
      </c>
      <c r="Z34" s="33">
        <v>1745</v>
      </c>
      <c r="AA34" s="33">
        <v>7330</v>
      </c>
      <c r="AB34" s="33">
        <v>30372</v>
      </c>
      <c r="AC34" s="33">
        <v>1265</v>
      </c>
      <c r="AD34" s="33">
        <v>225453</v>
      </c>
      <c r="AE34" s="33">
        <v>1253126</v>
      </c>
      <c r="AF34" s="31">
        <f t="shared" si="5"/>
        <v>0.17991247488281306</v>
      </c>
      <c r="AG34" s="33">
        <v>122177</v>
      </c>
      <c r="AH34" s="33">
        <v>122177</v>
      </c>
      <c r="AI34" s="33">
        <v>0</v>
      </c>
      <c r="AJ34" s="33">
        <v>33091</v>
      </c>
      <c r="AK34" s="33">
        <v>0</v>
      </c>
      <c r="AL34" s="33">
        <v>0</v>
      </c>
      <c r="AM34" s="33">
        <v>0</v>
      </c>
      <c r="AN34" s="33">
        <v>8150</v>
      </c>
      <c r="AO34" s="33">
        <v>9217</v>
      </c>
      <c r="AP34" s="35">
        <v>95</v>
      </c>
    </row>
    <row r="35" spans="1:42">
      <c r="A35" s="5">
        <v>4</v>
      </c>
      <c r="B35" s="22" t="s">
        <v>79</v>
      </c>
      <c r="C35" s="17" t="s">
        <v>249</v>
      </c>
      <c r="D35" s="22" t="s">
        <v>110</v>
      </c>
      <c r="E35" s="22" t="s">
        <v>458</v>
      </c>
      <c r="F35" s="33">
        <v>3774008</v>
      </c>
      <c r="G35" s="33">
        <v>131479</v>
      </c>
      <c r="H35" s="33">
        <v>2119759</v>
      </c>
      <c r="I35" s="33">
        <v>86238</v>
      </c>
      <c r="J35" s="33">
        <v>994165</v>
      </c>
      <c r="K35" s="33">
        <v>3650106</v>
      </c>
      <c r="L35" s="28">
        <v>1.1299999999999999</v>
      </c>
      <c r="M35" s="31">
        <f>350883/3647076</f>
        <v>9.6209401723462845E-2</v>
      </c>
      <c r="N35" s="33">
        <v>350847</v>
      </c>
      <c r="O35" s="33">
        <v>53931</v>
      </c>
      <c r="P35" s="33">
        <v>0</v>
      </c>
      <c r="Q35" s="33">
        <v>105371</v>
      </c>
      <c r="R35" s="33">
        <v>8817</v>
      </c>
      <c r="S35" s="33">
        <v>27245</v>
      </c>
      <c r="T35" s="33">
        <f>28181+79</f>
        <v>28260</v>
      </c>
      <c r="U35" s="33">
        <v>600</v>
      </c>
      <c r="V35" s="33">
        <v>8498</v>
      </c>
      <c r="W35" s="33">
        <v>6300</v>
      </c>
      <c r="X35" s="33">
        <v>3457</v>
      </c>
      <c r="Y35" s="33">
        <f>6293+12028+6250</f>
        <v>24571</v>
      </c>
      <c r="Z35" s="33">
        <v>5682</v>
      </c>
      <c r="AA35" s="33">
        <f>672+668+780+120</f>
        <v>2240</v>
      </c>
      <c r="AB35" s="33">
        <v>0</v>
      </c>
      <c r="AC35" s="33">
        <v>16405</v>
      </c>
      <c r="AD35" s="33">
        <v>8499</v>
      </c>
      <c r="AE35" s="33">
        <v>259610</v>
      </c>
      <c r="AF35" s="31">
        <f t="shared" si="5"/>
        <v>3.2737567890296984E-2</v>
      </c>
      <c r="AG35" s="33">
        <v>122233</v>
      </c>
      <c r="AH35" s="33">
        <v>122177</v>
      </c>
      <c r="AI35" s="33">
        <v>56</v>
      </c>
      <c r="AJ35" s="33">
        <v>33717</v>
      </c>
      <c r="AK35" s="33">
        <v>0</v>
      </c>
      <c r="AL35" s="33">
        <v>0</v>
      </c>
      <c r="AM35" s="33">
        <v>0</v>
      </c>
      <c r="AN35" s="33">
        <v>832</v>
      </c>
      <c r="AO35" s="33">
        <v>908</v>
      </c>
      <c r="AP35" s="35">
        <v>0</v>
      </c>
    </row>
    <row r="36" spans="1:42">
      <c r="A36" s="5">
        <v>4</v>
      </c>
      <c r="B36" s="22" t="s">
        <v>96</v>
      </c>
      <c r="C36" s="17" t="s">
        <v>249</v>
      </c>
      <c r="D36" s="22" t="s">
        <v>94</v>
      </c>
      <c r="E36" s="22" t="s">
        <v>550</v>
      </c>
      <c r="F36" s="33">
        <v>4948020</v>
      </c>
      <c r="G36" s="33">
        <v>193644</v>
      </c>
      <c r="H36" s="33">
        <v>2484275</v>
      </c>
      <c r="I36" s="33">
        <v>645540</v>
      </c>
      <c r="J36" s="33">
        <v>1235522</v>
      </c>
      <c r="K36" s="33">
        <v>4879209</v>
      </c>
      <c r="L36" s="28">
        <v>2</v>
      </c>
      <c r="M36" s="31">
        <f>309653/4879209</f>
        <v>6.3463770459515054E-2</v>
      </c>
      <c r="N36" s="33">
        <v>305554</v>
      </c>
      <c r="O36" s="33">
        <v>70203</v>
      </c>
      <c r="P36" s="33">
        <v>0</v>
      </c>
      <c r="Q36" s="33">
        <v>93738</v>
      </c>
      <c r="R36" s="33">
        <v>7983</v>
      </c>
      <c r="S36" s="33">
        <v>4229</v>
      </c>
      <c r="T36" s="33">
        <v>12120</v>
      </c>
      <c r="U36" s="33">
        <v>7200</v>
      </c>
      <c r="V36" s="33">
        <v>68584</v>
      </c>
      <c r="W36" s="33">
        <v>5750</v>
      </c>
      <c r="X36" s="33">
        <v>0</v>
      </c>
      <c r="Y36" s="33">
        <f>3600+12003+2982</f>
        <v>18585</v>
      </c>
      <c r="Z36" s="33">
        <v>2295</v>
      </c>
      <c r="AA36" s="33">
        <v>5408</v>
      </c>
      <c r="AB36" s="33">
        <v>15407</v>
      </c>
      <c r="AC36" s="33">
        <v>1668</v>
      </c>
      <c r="AD36" s="33">
        <v>0</v>
      </c>
      <c r="AE36" s="33">
        <v>258870</v>
      </c>
      <c r="AF36" s="31">
        <f t="shared" si="5"/>
        <v>0</v>
      </c>
      <c r="AG36" s="33">
        <v>122177</v>
      </c>
      <c r="AH36" s="33">
        <v>122177</v>
      </c>
      <c r="AI36" s="33">
        <v>0</v>
      </c>
      <c r="AJ36" s="33">
        <v>26122</v>
      </c>
      <c r="AK36" s="33">
        <v>0</v>
      </c>
      <c r="AL36" s="33">
        <v>0</v>
      </c>
      <c r="AM36" s="33">
        <v>0</v>
      </c>
      <c r="AN36" s="33">
        <v>1339</v>
      </c>
      <c r="AO36" s="33">
        <v>1397</v>
      </c>
      <c r="AP36" s="35">
        <v>63</v>
      </c>
    </row>
    <row r="37" spans="1:42">
      <c r="A37" s="5">
        <v>4</v>
      </c>
      <c r="B37" s="22" t="s">
        <v>119</v>
      </c>
      <c r="C37" s="17" t="s">
        <v>153</v>
      </c>
      <c r="D37" s="22" t="s">
        <v>40</v>
      </c>
      <c r="E37" s="22" t="s">
        <v>317</v>
      </c>
      <c r="F37" s="33">
        <v>13682851</v>
      </c>
      <c r="G37" s="33">
        <v>1185712</v>
      </c>
      <c r="H37" s="33">
        <v>4959124</v>
      </c>
      <c r="I37" s="33">
        <v>1653387</v>
      </c>
      <c r="J37" s="33">
        <v>5110687</v>
      </c>
      <c r="K37" s="33">
        <v>12703294</v>
      </c>
      <c r="L37" s="28">
        <v>2</v>
      </c>
      <c r="M37" s="31">
        <f>338246/12638995</f>
        <v>2.6762096195148428E-2</v>
      </c>
      <c r="N37" s="33">
        <v>334088</v>
      </c>
      <c r="O37" s="33">
        <v>477572</v>
      </c>
      <c r="P37" s="33">
        <v>0</v>
      </c>
      <c r="Q37" s="33">
        <v>381206</v>
      </c>
      <c r="R37" s="33">
        <v>33449</v>
      </c>
      <c r="S37" s="33">
        <v>40931</v>
      </c>
      <c r="T37" s="33">
        <v>38255</v>
      </c>
      <c r="U37" s="33">
        <v>2671</v>
      </c>
      <c r="V37" s="33">
        <v>71697</v>
      </c>
      <c r="W37" s="33">
        <v>6000</v>
      </c>
      <c r="X37" s="33">
        <v>12473</v>
      </c>
      <c r="Y37" s="33">
        <f>5285+30575+18085</f>
        <v>53945</v>
      </c>
      <c r="Z37" s="33">
        <v>9472</v>
      </c>
      <c r="AA37" s="33">
        <v>1902</v>
      </c>
      <c r="AB37" s="33">
        <v>7918</v>
      </c>
      <c r="AC37" s="33">
        <v>28808</v>
      </c>
      <c r="AD37" s="33">
        <v>27633</v>
      </c>
      <c r="AE37" s="33">
        <v>725020</v>
      </c>
      <c r="AF37" s="31">
        <f t="shared" si="5"/>
        <v>3.8113431353617833E-2</v>
      </c>
      <c r="AG37" s="33">
        <v>122177</v>
      </c>
      <c r="AH37" s="33">
        <v>122177</v>
      </c>
      <c r="AI37" s="33">
        <v>0</v>
      </c>
      <c r="AJ37" s="33">
        <v>91769</v>
      </c>
      <c r="AK37" s="33">
        <v>0</v>
      </c>
      <c r="AL37" s="33">
        <v>0</v>
      </c>
      <c r="AM37" s="33">
        <v>0</v>
      </c>
      <c r="AN37" s="33">
        <v>4527</v>
      </c>
      <c r="AO37" s="33">
        <v>4791</v>
      </c>
      <c r="AP37" s="35">
        <v>24</v>
      </c>
    </row>
    <row r="38" spans="1:42">
      <c r="A38" s="5">
        <v>4</v>
      </c>
      <c r="B38" s="22" t="s">
        <v>231</v>
      </c>
      <c r="C38" s="17" t="s">
        <v>428</v>
      </c>
      <c r="D38" s="22" t="s">
        <v>424</v>
      </c>
      <c r="E38" s="22" t="s">
        <v>523</v>
      </c>
      <c r="F38" s="33">
        <v>10611683</v>
      </c>
      <c r="G38" s="33">
        <v>336705</v>
      </c>
      <c r="H38" s="33">
        <v>5310343</v>
      </c>
      <c r="I38" s="33">
        <v>789706</v>
      </c>
      <c r="J38" s="33">
        <v>3084496</v>
      </c>
      <c r="K38" s="33">
        <v>10290863</v>
      </c>
      <c r="L38" s="28">
        <v>1.2</v>
      </c>
      <c r="M38" s="31">
        <f>310014/10285853</f>
        <v>3.0139843530721272E-2</v>
      </c>
      <c r="N38" s="33">
        <v>309396</v>
      </c>
      <c r="O38" s="33">
        <v>214654</v>
      </c>
      <c r="P38" s="33">
        <v>0</v>
      </c>
      <c r="Q38" s="33">
        <v>172339</v>
      </c>
      <c r="R38" s="33">
        <v>15690</v>
      </c>
      <c r="S38" s="33">
        <v>30493</v>
      </c>
      <c r="T38" s="33">
        <v>21569</v>
      </c>
      <c r="U38" s="33">
        <v>12135</v>
      </c>
      <c r="V38" s="33">
        <v>20411</v>
      </c>
      <c r="W38" s="33">
        <v>6300</v>
      </c>
      <c r="X38" s="33">
        <v>0</v>
      </c>
      <c r="Y38" s="33">
        <f>8626+18608+19817</f>
        <v>47051</v>
      </c>
      <c r="Z38" s="33">
        <v>2019</v>
      </c>
      <c r="AA38" s="33">
        <v>330</v>
      </c>
      <c r="AB38" s="33">
        <v>841</v>
      </c>
      <c r="AC38" s="33">
        <v>7675</v>
      </c>
      <c r="AD38" s="33">
        <v>48922</v>
      </c>
      <c r="AE38" s="33">
        <v>357614</v>
      </c>
      <c r="AF38" s="31">
        <f t="shared" si="5"/>
        <v>0.13680113194673588</v>
      </c>
      <c r="AG38" s="33">
        <v>122177</v>
      </c>
      <c r="AH38" s="33">
        <v>122177</v>
      </c>
      <c r="AI38" s="33">
        <v>0</v>
      </c>
      <c r="AJ38" s="33">
        <v>72725</v>
      </c>
      <c r="AK38" s="33">
        <v>11931</v>
      </c>
      <c r="AL38" s="33">
        <v>11931</v>
      </c>
      <c r="AM38" s="33">
        <v>0</v>
      </c>
      <c r="AN38" s="33">
        <v>2650</v>
      </c>
      <c r="AO38" s="33">
        <v>2617</v>
      </c>
      <c r="AP38" s="35">
        <v>4</v>
      </c>
    </row>
    <row r="39" spans="1:42">
      <c r="A39" s="5">
        <v>4</v>
      </c>
      <c r="B39" s="22" t="s">
        <v>271</v>
      </c>
      <c r="C39" s="17" t="s">
        <v>505</v>
      </c>
      <c r="D39" s="22" t="s">
        <v>66</v>
      </c>
      <c r="E39" s="22" t="s">
        <v>317</v>
      </c>
      <c r="F39" s="33">
        <v>12312015</v>
      </c>
      <c r="G39" s="33">
        <v>970707</v>
      </c>
      <c r="H39" s="33">
        <v>5530739</v>
      </c>
      <c r="I39" s="33">
        <v>1712469</v>
      </c>
      <c r="J39" s="33">
        <v>2863174</v>
      </c>
      <c r="K39" s="33">
        <v>11009807</v>
      </c>
      <c r="L39" s="28">
        <v>2</v>
      </c>
      <c r="M39" s="31">
        <f>641454/10997657</f>
        <v>5.8326423528211511E-2</v>
      </c>
      <c r="N39" s="33">
        <v>616267</v>
      </c>
      <c r="O39" s="33">
        <v>95319</v>
      </c>
      <c r="P39" s="33">
        <v>0</v>
      </c>
      <c r="Q39" s="33">
        <v>208684</v>
      </c>
      <c r="R39" s="33">
        <v>18120</v>
      </c>
      <c r="S39" s="33">
        <v>50073</v>
      </c>
      <c r="T39" s="33">
        <f>55524+3809</f>
        <v>59333</v>
      </c>
      <c r="U39" s="33">
        <v>17835</v>
      </c>
      <c r="V39" s="33">
        <v>56444</v>
      </c>
      <c r="W39" s="33">
        <v>7500</v>
      </c>
      <c r="X39" s="33">
        <v>0</v>
      </c>
      <c r="Y39" s="33">
        <f>5534+33396+18572</f>
        <v>57502</v>
      </c>
      <c r="Z39" s="33">
        <v>4884</v>
      </c>
      <c r="AA39" s="33">
        <v>2149</v>
      </c>
      <c r="AB39" s="33">
        <v>1135</v>
      </c>
      <c r="AC39" s="33">
        <v>8848</v>
      </c>
      <c r="AD39" s="33">
        <v>357023</v>
      </c>
      <c r="AE39" s="33">
        <v>505973</v>
      </c>
      <c r="AF39" s="31">
        <f t="shared" si="5"/>
        <v>0.7056167028675443</v>
      </c>
      <c r="AG39" s="33">
        <v>122177</v>
      </c>
      <c r="AH39" s="33">
        <v>122177</v>
      </c>
      <c r="AI39" s="33">
        <v>0</v>
      </c>
      <c r="AJ39" s="33">
        <v>133869</v>
      </c>
      <c r="AK39" s="33">
        <v>47854</v>
      </c>
      <c r="AL39" s="33">
        <v>47854</v>
      </c>
      <c r="AM39" s="33">
        <v>0</v>
      </c>
      <c r="AN39" s="33">
        <v>3495</v>
      </c>
      <c r="AO39" s="33">
        <v>3118</v>
      </c>
      <c r="AP39" s="35">
        <v>6</v>
      </c>
    </row>
    <row r="40" spans="1:42">
      <c r="A40" s="5">
        <v>4</v>
      </c>
      <c r="B40" s="22" t="s">
        <v>283</v>
      </c>
      <c r="C40" s="17" t="s">
        <v>128</v>
      </c>
      <c r="D40" s="22" t="s">
        <v>398</v>
      </c>
      <c r="E40" s="22" t="s">
        <v>523</v>
      </c>
      <c r="F40" s="33">
        <v>3314014</v>
      </c>
      <c r="G40" s="33">
        <v>75952</v>
      </c>
      <c r="H40" s="33">
        <v>1581927</v>
      </c>
      <c r="I40" s="33">
        <v>436293</v>
      </c>
      <c r="J40" s="33">
        <v>580265</v>
      </c>
      <c r="K40" s="33">
        <v>3245374</v>
      </c>
      <c r="L40" s="28">
        <v>0.4</v>
      </c>
      <c r="M40" s="31">
        <f>323597/3235970</f>
        <v>0.1</v>
      </c>
      <c r="N40" s="33">
        <v>323671</v>
      </c>
      <c r="O40" s="33">
        <v>127292</v>
      </c>
      <c r="P40" s="33">
        <v>0</v>
      </c>
      <c r="Q40" s="33">
        <v>94878</v>
      </c>
      <c r="R40" s="33">
        <v>7260</v>
      </c>
      <c r="S40" s="33">
        <v>4059</v>
      </c>
      <c r="T40" s="33">
        <v>17176</v>
      </c>
      <c r="U40" s="33">
        <v>7338</v>
      </c>
      <c r="V40" s="33">
        <v>31178</v>
      </c>
      <c r="W40" s="33">
        <v>6300</v>
      </c>
      <c r="X40" s="33">
        <v>0</v>
      </c>
      <c r="Y40" s="33">
        <f>3660+6800+3916</f>
        <v>14376</v>
      </c>
      <c r="Z40" s="33">
        <v>1673</v>
      </c>
      <c r="AA40" s="33">
        <v>376</v>
      </c>
      <c r="AB40" s="33">
        <v>2949</v>
      </c>
      <c r="AC40" s="33">
        <v>522</v>
      </c>
      <c r="AD40" s="33">
        <v>0</v>
      </c>
      <c r="AE40" s="33">
        <v>194921</v>
      </c>
      <c r="AF40" s="31">
        <f t="shared" si="5"/>
        <v>0</v>
      </c>
      <c r="AG40" s="33">
        <v>122177</v>
      </c>
      <c r="AH40" s="33">
        <v>122177</v>
      </c>
      <c r="AI40" s="33">
        <v>0</v>
      </c>
      <c r="AJ40" s="33">
        <v>139831</v>
      </c>
      <c r="AK40" s="33">
        <v>6745</v>
      </c>
      <c r="AL40" s="33">
        <v>6745</v>
      </c>
      <c r="AM40" s="33">
        <v>0</v>
      </c>
      <c r="AN40" s="33">
        <v>1139</v>
      </c>
      <c r="AO40" s="33">
        <v>925</v>
      </c>
      <c r="AP40" s="35">
        <v>1</v>
      </c>
    </row>
    <row r="41" spans="1:42">
      <c r="A41" s="5">
        <v>4</v>
      </c>
      <c r="B41" s="22" t="s">
        <v>284</v>
      </c>
      <c r="C41" s="17" t="s">
        <v>404</v>
      </c>
      <c r="D41" s="22" t="s">
        <v>110</v>
      </c>
      <c r="E41" s="22" t="s">
        <v>458</v>
      </c>
      <c r="F41" s="33">
        <v>11030435</v>
      </c>
      <c r="G41" s="33">
        <v>173008</v>
      </c>
      <c r="H41" s="33">
        <v>6974057</v>
      </c>
      <c r="I41" s="33">
        <v>564083</v>
      </c>
      <c r="J41" s="33">
        <v>2581723</v>
      </c>
      <c r="K41" s="33">
        <v>10815731</v>
      </c>
      <c r="L41" s="28">
        <v>1</v>
      </c>
      <c r="M41" s="31">
        <f>427533/10812444</f>
        <v>3.9540829066952853E-2</v>
      </c>
      <c r="N41" s="33">
        <v>426984</v>
      </c>
      <c r="O41" s="33">
        <v>155805</v>
      </c>
      <c r="P41" s="33">
        <v>0</v>
      </c>
      <c r="Q41" s="33">
        <v>193858</v>
      </c>
      <c r="R41" s="33">
        <v>15930</v>
      </c>
      <c r="S41" s="33">
        <v>23625</v>
      </c>
      <c r="T41" s="33">
        <f>31980+4960</f>
        <v>36940</v>
      </c>
      <c r="U41" s="33">
        <v>225</v>
      </c>
      <c r="V41" s="33">
        <v>16332</v>
      </c>
      <c r="W41" s="33">
        <v>7500</v>
      </c>
      <c r="X41" s="33">
        <v>0</v>
      </c>
      <c r="Y41" s="33">
        <f>29908+24701+6529</f>
        <v>61138</v>
      </c>
      <c r="Z41" s="33">
        <v>2915</v>
      </c>
      <c r="AA41" s="33">
        <f>2220+1232+572</f>
        <v>4024</v>
      </c>
      <c r="AB41" s="33">
        <v>0</v>
      </c>
      <c r="AC41" s="33">
        <v>952</v>
      </c>
      <c r="AD41" s="33">
        <v>31980</v>
      </c>
      <c r="AE41" s="33">
        <v>388317</v>
      </c>
      <c r="AF41" s="31">
        <f t="shared" si="5"/>
        <v>8.2355395205463575E-2</v>
      </c>
      <c r="AG41" s="33">
        <v>122177</v>
      </c>
      <c r="AH41" s="33">
        <v>122177</v>
      </c>
      <c r="AI41" s="33">
        <v>0</v>
      </c>
      <c r="AJ41" s="33">
        <v>53771</v>
      </c>
      <c r="AK41" s="33">
        <v>0</v>
      </c>
      <c r="AL41" s="33">
        <v>0</v>
      </c>
      <c r="AM41" s="33">
        <v>0</v>
      </c>
      <c r="AN41" s="33">
        <v>2830</v>
      </c>
      <c r="AO41" s="33">
        <v>2978</v>
      </c>
      <c r="AP41" s="35">
        <v>4</v>
      </c>
    </row>
    <row r="42" spans="1:42">
      <c r="A42" s="5">
        <v>4</v>
      </c>
      <c r="B42" s="22" t="s">
        <v>338</v>
      </c>
      <c r="C42" s="17" t="s">
        <v>279</v>
      </c>
      <c r="D42" s="22" t="s">
        <v>298</v>
      </c>
      <c r="E42" s="22" t="s">
        <v>523</v>
      </c>
      <c r="F42" s="33">
        <v>3077491</v>
      </c>
      <c r="G42" s="33">
        <v>53223</v>
      </c>
      <c r="H42" s="33">
        <v>1281902</v>
      </c>
      <c r="I42" s="33">
        <v>176567</v>
      </c>
      <c r="J42" s="33">
        <v>1112395</v>
      </c>
      <c r="K42" s="33">
        <v>3107857</v>
      </c>
      <c r="L42" s="28">
        <v>1.26</v>
      </c>
      <c r="M42" s="31">
        <f>225320/3107857</f>
        <v>7.2500118248683895E-2</v>
      </c>
      <c r="N42" s="33">
        <v>225186</v>
      </c>
      <c r="O42" s="33">
        <v>32711</v>
      </c>
      <c r="P42" s="33">
        <v>0</v>
      </c>
      <c r="Q42" s="33">
        <v>39905</v>
      </c>
      <c r="R42" s="33">
        <v>3073</v>
      </c>
      <c r="S42" s="33">
        <v>8337</v>
      </c>
      <c r="T42" s="33">
        <v>12240</v>
      </c>
      <c r="U42" s="33">
        <v>6855</v>
      </c>
      <c r="V42" s="33">
        <v>10800</v>
      </c>
      <c r="W42" s="33">
        <v>6300</v>
      </c>
      <c r="X42" s="33">
        <v>0</v>
      </c>
      <c r="Y42" s="33">
        <f>6368+4882+4675</f>
        <v>15925</v>
      </c>
      <c r="Z42" s="33">
        <v>2725</v>
      </c>
      <c r="AA42" s="33">
        <v>695</v>
      </c>
      <c r="AB42" s="33">
        <v>3318</v>
      </c>
      <c r="AC42" s="33">
        <v>4600</v>
      </c>
      <c r="AD42" s="33">
        <v>58096</v>
      </c>
      <c r="AE42" s="33">
        <v>120079</v>
      </c>
      <c r="AF42" s="31">
        <f t="shared" si="5"/>
        <v>0.48381482190890995</v>
      </c>
      <c r="AG42" s="33">
        <v>122816</v>
      </c>
      <c r="AH42" s="33">
        <v>122177</v>
      </c>
      <c r="AI42" s="33">
        <v>639</v>
      </c>
      <c r="AJ42" s="33">
        <v>20596</v>
      </c>
      <c r="AK42" s="33">
        <v>183</v>
      </c>
      <c r="AL42" s="33">
        <v>822</v>
      </c>
      <c r="AM42" s="33">
        <v>0</v>
      </c>
      <c r="AN42" s="33">
        <v>1025</v>
      </c>
      <c r="AO42" s="33">
        <v>1027</v>
      </c>
      <c r="AP42" s="35">
        <v>2</v>
      </c>
    </row>
    <row r="43" spans="1:42">
      <c r="A43" s="5">
        <v>4</v>
      </c>
      <c r="B43" s="22" t="s">
        <v>355</v>
      </c>
      <c r="C43" s="17" t="s">
        <v>125</v>
      </c>
      <c r="D43" s="22" t="s">
        <v>530</v>
      </c>
      <c r="E43" s="22" t="s">
        <v>131</v>
      </c>
      <c r="F43" s="33">
        <v>2728117</v>
      </c>
      <c r="G43" s="33">
        <v>123740</v>
      </c>
      <c r="H43" s="33">
        <v>1249546</v>
      </c>
      <c r="I43" s="33">
        <v>372603</v>
      </c>
      <c r="J43" s="33">
        <v>650959</v>
      </c>
      <c r="K43" s="33">
        <v>2574202</v>
      </c>
      <c r="L43" s="28">
        <v>1</v>
      </c>
      <c r="M43" s="31">
        <f>246327/2574202</f>
        <v>9.5690625677394392E-2</v>
      </c>
      <c r="N43" s="33">
        <v>246321</v>
      </c>
      <c r="O43" s="33">
        <v>62921</v>
      </c>
      <c r="P43" s="33">
        <v>0</v>
      </c>
      <c r="Q43" s="33">
        <v>37857</v>
      </c>
      <c r="R43" s="33">
        <v>3578</v>
      </c>
      <c r="S43" s="33">
        <v>8008</v>
      </c>
      <c r="T43" s="33">
        <f>34380+1689</f>
        <v>36069</v>
      </c>
      <c r="U43" s="33">
        <v>7755</v>
      </c>
      <c r="V43" s="33">
        <v>40707</v>
      </c>
      <c r="W43" s="33">
        <v>6950</v>
      </c>
      <c r="X43" s="33">
        <v>3400</v>
      </c>
      <c r="Y43" s="33">
        <f>2807+5449+3355</f>
        <v>11611</v>
      </c>
      <c r="Z43" s="33">
        <v>0</v>
      </c>
      <c r="AA43" s="33">
        <v>717</v>
      </c>
      <c r="AB43" s="33">
        <v>0</v>
      </c>
      <c r="AC43" s="33">
        <v>10157</v>
      </c>
      <c r="AD43" s="33">
        <v>0</v>
      </c>
      <c r="AE43" s="33">
        <v>176442</v>
      </c>
      <c r="AF43" s="31">
        <f t="shared" si="5"/>
        <v>0</v>
      </c>
      <c r="AG43" s="33">
        <v>122177</v>
      </c>
      <c r="AH43" s="33">
        <v>122177</v>
      </c>
      <c r="AI43" s="33">
        <v>0</v>
      </c>
      <c r="AJ43" s="33">
        <v>20514</v>
      </c>
      <c r="AK43" s="33">
        <v>0</v>
      </c>
      <c r="AL43" s="33">
        <v>0</v>
      </c>
      <c r="AM43" s="33">
        <v>0</v>
      </c>
      <c r="AN43" s="33">
        <v>805</v>
      </c>
      <c r="AO43" s="33">
        <v>783</v>
      </c>
      <c r="AP43" s="35">
        <v>1</v>
      </c>
    </row>
    <row r="44" spans="1:42">
      <c r="A44" s="5">
        <v>4</v>
      </c>
      <c r="B44" s="22" t="s">
        <v>365</v>
      </c>
      <c r="C44" s="17" t="s">
        <v>193</v>
      </c>
      <c r="D44" s="22" t="s">
        <v>18</v>
      </c>
      <c r="E44" s="22" t="s">
        <v>523</v>
      </c>
      <c r="F44" s="33">
        <v>3934209</v>
      </c>
      <c r="G44" s="33">
        <v>264495</v>
      </c>
      <c r="H44" s="33">
        <v>1362375</v>
      </c>
      <c r="I44" s="33">
        <v>779009</v>
      </c>
      <c r="J44" s="33">
        <v>1336349</v>
      </c>
      <c r="K44" s="33">
        <v>3836633</v>
      </c>
      <c r="L44" s="28">
        <v>1.3</v>
      </c>
      <c r="M44" s="31">
        <f>272516/3836633</f>
        <v>7.1029989055507781E-2</v>
      </c>
      <c r="N44" s="33">
        <v>274063</v>
      </c>
      <c r="O44" s="33">
        <v>77488</v>
      </c>
      <c r="P44" s="33">
        <v>0</v>
      </c>
      <c r="Q44" s="33">
        <v>78200</v>
      </c>
      <c r="R44" s="33">
        <v>6047</v>
      </c>
      <c r="S44" s="33">
        <v>18430</v>
      </c>
      <c r="T44" s="33">
        <v>26025</v>
      </c>
      <c r="U44" s="33">
        <v>0</v>
      </c>
      <c r="V44" s="33">
        <v>12000</v>
      </c>
      <c r="W44" s="33">
        <v>6300</v>
      </c>
      <c r="X44" s="33">
        <v>0</v>
      </c>
      <c r="Y44" s="33">
        <f>6462+7974+9494</f>
        <v>23930</v>
      </c>
      <c r="Z44" s="33">
        <v>2194</v>
      </c>
      <c r="AA44" s="33">
        <v>0</v>
      </c>
      <c r="AB44" s="33">
        <v>0</v>
      </c>
      <c r="AC44" s="33">
        <v>15727</v>
      </c>
      <c r="AD44" s="33">
        <v>78369</v>
      </c>
      <c r="AE44" s="33">
        <v>202590</v>
      </c>
      <c r="AF44" s="31">
        <f t="shared" ref="AF44:AF75" si="6">IF(AE44=0,0,AD44/AE44)</f>
        <v>0.38683548052717309</v>
      </c>
      <c r="AG44" s="33">
        <v>122177</v>
      </c>
      <c r="AH44" s="33">
        <v>122177</v>
      </c>
      <c r="AI44" s="33">
        <v>0</v>
      </c>
      <c r="AJ44" s="33">
        <v>26981</v>
      </c>
      <c r="AK44" s="33">
        <v>0</v>
      </c>
      <c r="AL44" s="33">
        <v>0</v>
      </c>
      <c r="AM44" s="33">
        <v>0</v>
      </c>
      <c r="AN44" s="33">
        <v>904</v>
      </c>
      <c r="AO44" s="33">
        <v>863</v>
      </c>
      <c r="AP44" s="35">
        <v>12</v>
      </c>
    </row>
    <row r="45" spans="1:42">
      <c r="A45" s="5">
        <v>4</v>
      </c>
      <c r="B45" s="22" t="s">
        <v>380</v>
      </c>
      <c r="C45" s="17" t="s">
        <v>216</v>
      </c>
      <c r="D45" s="22" t="s">
        <v>95</v>
      </c>
      <c r="E45" s="22" t="s">
        <v>523</v>
      </c>
      <c r="F45" s="33">
        <v>1455494</v>
      </c>
      <c r="G45" s="33">
        <v>45303</v>
      </c>
      <c r="H45" s="33">
        <v>410468</v>
      </c>
      <c r="I45" s="33">
        <v>231347</v>
      </c>
      <c r="J45" s="33">
        <v>532911</v>
      </c>
      <c r="K45" s="33">
        <v>1369199</v>
      </c>
      <c r="L45" s="28">
        <v>1.2</v>
      </c>
      <c r="M45" s="31">
        <f>126651/1369199</f>
        <v>9.250006755774727E-2</v>
      </c>
      <c r="N45" s="33">
        <v>126757</v>
      </c>
      <c r="O45" s="33">
        <v>11823</v>
      </c>
      <c r="P45" s="33">
        <v>0</v>
      </c>
      <c r="Q45" s="33">
        <v>25000</v>
      </c>
      <c r="R45" s="33">
        <v>1772</v>
      </c>
      <c r="S45" s="33">
        <v>5397</v>
      </c>
      <c r="T45" s="33">
        <v>5322</v>
      </c>
      <c r="U45" s="33">
        <v>0</v>
      </c>
      <c r="V45" s="33">
        <v>1800</v>
      </c>
      <c r="W45" s="33">
        <v>5250</v>
      </c>
      <c r="X45" s="33">
        <v>0</v>
      </c>
      <c r="Y45" s="33">
        <f>1344+3569+2142</f>
        <v>7055</v>
      </c>
      <c r="Z45" s="33">
        <v>2830</v>
      </c>
      <c r="AA45" s="33">
        <f>1672+13</f>
        <v>1685</v>
      </c>
      <c r="AB45" s="33">
        <v>0</v>
      </c>
      <c r="AC45" s="33">
        <v>5270</v>
      </c>
      <c r="AD45" s="33">
        <v>8017</v>
      </c>
      <c r="AE45" s="33">
        <v>64380</v>
      </c>
      <c r="AF45" s="31">
        <f t="shared" si="6"/>
        <v>0.12452625038831935</v>
      </c>
      <c r="AG45" s="33">
        <v>68517</v>
      </c>
      <c r="AH45" s="33">
        <v>68517</v>
      </c>
      <c r="AI45" s="33">
        <v>0</v>
      </c>
      <c r="AJ45" s="33">
        <v>10943</v>
      </c>
      <c r="AK45" s="33">
        <v>0</v>
      </c>
      <c r="AL45" s="33">
        <v>0</v>
      </c>
      <c r="AM45" s="33">
        <v>0</v>
      </c>
      <c r="AN45" s="33">
        <v>364</v>
      </c>
      <c r="AO45" s="33">
        <v>294</v>
      </c>
      <c r="AP45" s="35">
        <v>1</v>
      </c>
    </row>
    <row r="46" spans="1:42">
      <c r="A46" s="5">
        <v>4</v>
      </c>
      <c r="B46" s="22" t="s">
        <v>453</v>
      </c>
      <c r="C46" s="17" t="s">
        <v>176</v>
      </c>
      <c r="D46" s="22" t="s">
        <v>398</v>
      </c>
      <c r="E46" s="22" t="s">
        <v>523</v>
      </c>
      <c r="F46" s="33">
        <v>14414853</v>
      </c>
      <c r="G46" s="33">
        <v>624278</v>
      </c>
      <c r="H46" s="33">
        <v>7035842</v>
      </c>
      <c r="I46" s="33">
        <v>1709313</v>
      </c>
      <c r="J46" s="33">
        <v>3473239</v>
      </c>
      <c r="K46" s="33">
        <v>13623399</v>
      </c>
      <c r="L46" s="28">
        <v>0.28000000000000003</v>
      </c>
      <c r="M46" s="31">
        <f>596888/13623399</f>
        <v>4.3813441858379099E-2</v>
      </c>
      <c r="N46" s="33">
        <v>600260</v>
      </c>
      <c r="O46" s="33">
        <v>228142</v>
      </c>
      <c r="P46" s="33">
        <v>0</v>
      </c>
      <c r="Q46" s="33">
        <v>343458</v>
      </c>
      <c r="R46" s="33">
        <v>27412</v>
      </c>
      <c r="S46" s="33">
        <v>45368</v>
      </c>
      <c r="T46" s="33">
        <v>51401</v>
      </c>
      <c r="U46" s="33">
        <v>837</v>
      </c>
      <c r="V46" s="33">
        <v>14892</v>
      </c>
      <c r="W46" s="33">
        <v>5750</v>
      </c>
      <c r="X46" s="33">
        <v>0</v>
      </c>
      <c r="Y46" s="33">
        <f>17669+34492+37051</f>
        <v>89212</v>
      </c>
      <c r="Z46" s="33">
        <v>6046</v>
      </c>
      <c r="AA46" s="33">
        <v>0</v>
      </c>
      <c r="AB46" s="33">
        <v>5078</v>
      </c>
      <c r="AC46" s="33">
        <v>10934</v>
      </c>
      <c r="AD46" s="33">
        <v>0</v>
      </c>
      <c r="AE46" s="33">
        <v>632179</v>
      </c>
      <c r="AF46" s="31">
        <f t="shared" si="6"/>
        <v>0</v>
      </c>
      <c r="AG46" s="33">
        <v>122177</v>
      </c>
      <c r="AH46" s="33">
        <v>122177</v>
      </c>
      <c r="AI46" s="33">
        <v>0</v>
      </c>
      <c r="AJ46" s="33">
        <v>117420</v>
      </c>
      <c r="AK46" s="33">
        <v>9950</v>
      </c>
      <c r="AL46" s="33">
        <v>9950</v>
      </c>
      <c r="AM46" s="33">
        <v>0</v>
      </c>
      <c r="AN46" s="33">
        <v>4196</v>
      </c>
      <c r="AO46" s="33">
        <v>4358</v>
      </c>
      <c r="AP46" s="35">
        <v>2</v>
      </c>
    </row>
    <row r="47" spans="1:42">
      <c r="A47" s="5">
        <v>4</v>
      </c>
      <c r="B47" s="22" t="s">
        <v>483</v>
      </c>
      <c r="C47" s="17" t="s">
        <v>543</v>
      </c>
      <c r="D47" s="22" t="s">
        <v>110</v>
      </c>
      <c r="E47" s="22" t="s">
        <v>458</v>
      </c>
      <c r="F47" s="33">
        <v>14716772</v>
      </c>
      <c r="G47" s="33">
        <v>264156</v>
      </c>
      <c r="H47" s="33">
        <v>9282957</v>
      </c>
      <c r="I47" s="33">
        <v>764645</v>
      </c>
      <c r="J47" s="33">
        <v>3360907</v>
      </c>
      <c r="K47" s="33">
        <v>14357229</v>
      </c>
      <c r="L47" s="28">
        <v>1.21</v>
      </c>
      <c r="M47" s="31">
        <f>525891/14346318</f>
        <v>3.6656862060355837E-2</v>
      </c>
      <c r="N47" s="33">
        <v>525795</v>
      </c>
      <c r="O47" s="33">
        <v>197138</v>
      </c>
      <c r="P47" s="33">
        <v>0</v>
      </c>
      <c r="Q47" s="33">
        <v>336788</v>
      </c>
      <c r="R47" s="33">
        <v>27466</v>
      </c>
      <c r="S47" s="33">
        <v>43583</v>
      </c>
      <c r="T47" s="33">
        <f>40092+5850</f>
        <v>45942</v>
      </c>
      <c r="U47" s="33">
        <v>0</v>
      </c>
      <c r="V47" s="33">
        <v>16332</v>
      </c>
      <c r="W47" s="33">
        <v>7500</v>
      </c>
      <c r="X47" s="33">
        <v>0</v>
      </c>
      <c r="Y47" s="33">
        <f>10455+40659+30197</f>
        <v>81311</v>
      </c>
      <c r="Z47" s="33">
        <v>4180</v>
      </c>
      <c r="AA47" s="33">
        <v>163</v>
      </c>
      <c r="AB47" s="33">
        <v>0</v>
      </c>
      <c r="AC47" s="33">
        <v>10253</v>
      </c>
      <c r="AD47" s="33">
        <v>0</v>
      </c>
      <c r="AE47" s="33">
        <v>612803</v>
      </c>
      <c r="AF47" s="31">
        <f t="shared" si="6"/>
        <v>0</v>
      </c>
      <c r="AG47" s="33">
        <v>122176</v>
      </c>
      <c r="AH47" s="33">
        <v>122176</v>
      </c>
      <c r="AI47" s="33">
        <v>0</v>
      </c>
      <c r="AJ47" s="33">
        <v>60169</v>
      </c>
      <c r="AK47" s="33">
        <v>0</v>
      </c>
      <c r="AL47" s="33">
        <v>0</v>
      </c>
      <c r="AM47" s="33">
        <v>0</v>
      </c>
      <c r="AN47" s="33">
        <v>3952</v>
      </c>
      <c r="AO47" s="33">
        <v>3693</v>
      </c>
      <c r="AP47" s="35">
        <v>3</v>
      </c>
    </row>
    <row r="48" spans="1:42">
      <c r="A48" s="5">
        <v>4</v>
      </c>
      <c r="B48" s="22" t="s">
        <v>488</v>
      </c>
      <c r="C48" s="17" t="s">
        <v>239</v>
      </c>
      <c r="D48" s="22" t="s">
        <v>427</v>
      </c>
      <c r="E48" s="22" t="s">
        <v>523</v>
      </c>
      <c r="F48" s="33">
        <v>1664979</v>
      </c>
      <c r="G48" s="33">
        <v>24631</v>
      </c>
      <c r="H48" s="33">
        <v>637401</v>
      </c>
      <c r="I48" s="33">
        <v>222858</v>
      </c>
      <c r="J48" s="33">
        <v>373473</v>
      </c>
      <c r="K48" s="33">
        <v>1464369</v>
      </c>
      <c r="L48" s="28">
        <v>3</v>
      </c>
      <c r="M48" s="31">
        <f>139115/1464369</f>
        <v>9.4999962441160657E-2</v>
      </c>
      <c r="N48" s="33">
        <v>139173</v>
      </c>
      <c r="O48" s="33">
        <v>17504</v>
      </c>
      <c r="P48" s="33">
        <v>0</v>
      </c>
      <c r="Q48" s="33">
        <v>44460</v>
      </c>
      <c r="R48" s="33">
        <v>3545</v>
      </c>
      <c r="S48" s="33">
        <v>6675</v>
      </c>
      <c r="T48" s="33">
        <v>6374</v>
      </c>
      <c r="U48" s="33">
        <v>0</v>
      </c>
      <c r="V48" s="33">
        <v>0</v>
      </c>
      <c r="W48" s="33">
        <v>5750</v>
      </c>
      <c r="X48" s="33">
        <v>2442</v>
      </c>
      <c r="Y48" s="33">
        <f>1222+1818+2345</f>
        <v>5385</v>
      </c>
      <c r="Z48" s="33">
        <v>0</v>
      </c>
      <c r="AA48" s="33">
        <f>110+52+33</f>
        <v>195</v>
      </c>
      <c r="AB48" s="33">
        <v>0</v>
      </c>
      <c r="AC48" s="33">
        <v>14398</v>
      </c>
      <c r="AD48" s="33">
        <v>11505</v>
      </c>
      <c r="AE48" s="33">
        <v>92731</v>
      </c>
      <c r="AF48" s="31">
        <f t="shared" si="6"/>
        <v>0.12406854234290582</v>
      </c>
      <c r="AG48" s="33">
        <v>66875</v>
      </c>
      <c r="AH48" s="33">
        <v>66875</v>
      </c>
      <c r="AI48" s="33">
        <v>0</v>
      </c>
      <c r="AJ48" s="33">
        <v>3936</v>
      </c>
      <c r="AK48" s="33">
        <v>0</v>
      </c>
      <c r="AL48" s="33">
        <v>0</v>
      </c>
      <c r="AM48" s="33">
        <v>0</v>
      </c>
      <c r="AN48" s="33">
        <v>555</v>
      </c>
      <c r="AO48" s="33">
        <v>475</v>
      </c>
      <c r="AP48" s="35">
        <v>1</v>
      </c>
    </row>
    <row r="49" spans="1:42">
      <c r="A49" s="5">
        <v>4</v>
      </c>
      <c r="B49" s="22" t="s">
        <v>541</v>
      </c>
      <c r="C49" s="17" t="s">
        <v>248</v>
      </c>
      <c r="D49" s="22" t="s">
        <v>71</v>
      </c>
      <c r="E49" s="22" t="s">
        <v>523</v>
      </c>
      <c r="F49" s="33">
        <v>2114608</v>
      </c>
      <c r="G49" s="33">
        <v>58432</v>
      </c>
      <c r="H49" s="33">
        <v>1637162</v>
      </c>
      <c r="I49" s="33">
        <v>141811</v>
      </c>
      <c r="J49" s="33">
        <v>172771</v>
      </c>
      <c r="K49" s="33">
        <v>2146104</v>
      </c>
      <c r="L49" s="28">
        <v>3</v>
      </c>
      <c r="M49" s="31">
        <f>158380/2146104</f>
        <v>7.3798846654216196E-2</v>
      </c>
      <c r="N49" s="33">
        <v>158380</v>
      </c>
      <c r="O49" s="33">
        <v>29925</v>
      </c>
      <c r="P49" s="33">
        <v>0</v>
      </c>
      <c r="Q49" s="33">
        <v>40849</v>
      </c>
      <c r="R49" s="33">
        <v>2982</v>
      </c>
      <c r="S49" s="33">
        <v>3493</v>
      </c>
      <c r="T49" s="33">
        <f>7680+2664</f>
        <v>10344</v>
      </c>
      <c r="U49" s="33">
        <v>0</v>
      </c>
      <c r="V49" s="33">
        <v>0</v>
      </c>
      <c r="W49" s="33">
        <v>5750</v>
      </c>
      <c r="X49" s="33">
        <v>0</v>
      </c>
      <c r="Y49" s="33">
        <f>3145+2915+4359</f>
        <v>10419</v>
      </c>
      <c r="Z49" s="33">
        <v>2558</v>
      </c>
      <c r="AA49" s="33">
        <v>1380</v>
      </c>
      <c r="AB49" s="33">
        <v>0</v>
      </c>
      <c r="AC49" s="33">
        <v>0</v>
      </c>
      <c r="AD49" s="33">
        <v>11253</v>
      </c>
      <c r="AE49" s="33">
        <v>85270</v>
      </c>
      <c r="AF49" s="31">
        <f t="shared" si="6"/>
        <v>0.13196903952151987</v>
      </c>
      <c r="AG49" s="33">
        <v>102809</v>
      </c>
      <c r="AH49" s="33">
        <v>102809</v>
      </c>
      <c r="AI49" s="33">
        <v>0</v>
      </c>
      <c r="AJ49" s="33">
        <v>14740</v>
      </c>
      <c r="AK49" s="33">
        <v>244</v>
      </c>
      <c r="AL49" s="33">
        <v>244</v>
      </c>
      <c r="AM49" s="33">
        <v>0</v>
      </c>
      <c r="AN49" s="33">
        <v>424</v>
      </c>
      <c r="AO49" s="33">
        <v>447</v>
      </c>
      <c r="AP49" s="35">
        <v>19</v>
      </c>
    </row>
    <row r="50" spans="1:42">
      <c r="A50" s="5">
        <v>5</v>
      </c>
      <c r="B50" s="22" t="s">
        <v>42</v>
      </c>
      <c r="C50" s="17" t="s">
        <v>287</v>
      </c>
      <c r="D50" s="22" t="s">
        <v>241</v>
      </c>
      <c r="E50" s="22" t="s">
        <v>339</v>
      </c>
      <c r="F50" s="33">
        <v>14212228</v>
      </c>
      <c r="G50" s="33">
        <v>493136</v>
      </c>
      <c r="H50" s="33">
        <v>5981020</v>
      </c>
      <c r="I50" s="33">
        <v>429167</v>
      </c>
      <c r="J50" s="33">
        <v>6066242</v>
      </c>
      <c r="K50" s="33">
        <v>13598803</v>
      </c>
      <c r="L50" s="28">
        <v>1.2</v>
      </c>
      <c r="M50" s="31">
        <f>636386/8361605</f>
        <v>7.6108115606991725E-2</v>
      </c>
      <c r="N50" s="33">
        <v>637165</v>
      </c>
      <c r="O50" s="33">
        <v>100564</v>
      </c>
      <c r="P50" s="33">
        <v>0</v>
      </c>
      <c r="Q50" s="33">
        <v>224911</v>
      </c>
      <c r="R50" s="33">
        <v>20161</v>
      </c>
      <c r="S50" s="33">
        <v>28951</v>
      </c>
      <c r="T50" s="33">
        <v>42654</v>
      </c>
      <c r="U50" s="33">
        <v>13200</v>
      </c>
      <c r="V50" s="33">
        <v>166798</v>
      </c>
      <c r="W50" s="33">
        <v>6950</v>
      </c>
      <c r="X50" s="33">
        <v>0</v>
      </c>
      <c r="Y50" s="33">
        <f>8793+41255+10227</f>
        <v>60275</v>
      </c>
      <c r="Z50" s="33">
        <v>3392</v>
      </c>
      <c r="AA50" s="33">
        <f>5702+263</f>
        <v>5965</v>
      </c>
      <c r="AB50" s="33">
        <v>0</v>
      </c>
      <c r="AC50" s="33">
        <v>5087</v>
      </c>
      <c r="AD50" s="33">
        <v>42654</v>
      </c>
      <c r="AE50" s="33">
        <v>601882</v>
      </c>
      <c r="AF50" s="31">
        <f t="shared" si="6"/>
        <v>7.0867711611246054E-2</v>
      </c>
      <c r="AG50" s="33">
        <v>122172</v>
      </c>
      <c r="AH50" s="33">
        <v>122172</v>
      </c>
      <c r="AI50" s="33">
        <v>0</v>
      </c>
      <c r="AJ50" s="33">
        <v>92735</v>
      </c>
      <c r="AK50" s="33">
        <v>0</v>
      </c>
      <c r="AL50" s="33">
        <v>0</v>
      </c>
      <c r="AM50" s="33">
        <v>0</v>
      </c>
      <c r="AN50" s="33">
        <v>3468</v>
      </c>
      <c r="AO50" s="33">
        <v>3628</v>
      </c>
      <c r="AP50" s="35">
        <v>36</v>
      </c>
    </row>
    <row r="51" spans="1:42">
      <c r="A51" s="5">
        <v>5</v>
      </c>
      <c r="B51" s="22" t="s">
        <v>43</v>
      </c>
      <c r="C51" s="17" t="s">
        <v>206</v>
      </c>
      <c r="D51" s="22" t="s">
        <v>241</v>
      </c>
      <c r="E51" s="22" t="s">
        <v>339</v>
      </c>
      <c r="F51" s="33">
        <v>19009135</v>
      </c>
      <c r="G51" s="33">
        <v>518355</v>
      </c>
      <c r="H51" s="33">
        <v>7418191</v>
      </c>
      <c r="I51" s="33">
        <v>742420</v>
      </c>
      <c r="J51" s="33">
        <v>8602518</v>
      </c>
      <c r="K51" s="33">
        <v>18218851</v>
      </c>
      <c r="L51" s="28">
        <v>1</v>
      </c>
      <c r="M51" s="31">
        <f>572949/11499085</f>
        <v>4.9825616559926289E-2</v>
      </c>
      <c r="N51" s="33">
        <v>573934</v>
      </c>
      <c r="O51" s="33">
        <v>255953</v>
      </c>
      <c r="P51" s="33">
        <v>0</v>
      </c>
      <c r="Q51" s="33">
        <v>248159</v>
      </c>
      <c r="R51" s="33">
        <v>22154</v>
      </c>
      <c r="S51" s="33">
        <v>36298</v>
      </c>
      <c r="T51" s="33">
        <v>49236</v>
      </c>
      <c r="U51" s="33">
        <v>13200</v>
      </c>
      <c r="V51" s="33">
        <v>202196</v>
      </c>
      <c r="W51" s="33">
        <v>6950</v>
      </c>
      <c r="X51" s="33">
        <v>0</v>
      </c>
      <c r="Y51" s="33">
        <f>7821+45624+12317</f>
        <v>65762</v>
      </c>
      <c r="Z51" s="33">
        <v>7452</v>
      </c>
      <c r="AA51" s="33">
        <f>2566+35</f>
        <v>2601</v>
      </c>
      <c r="AB51" s="33">
        <v>0</v>
      </c>
      <c r="AC51" s="33">
        <v>5396</v>
      </c>
      <c r="AD51" s="33">
        <v>49236</v>
      </c>
      <c r="AE51" s="33">
        <v>689105</v>
      </c>
      <c r="AF51" s="31">
        <f t="shared" si="6"/>
        <v>7.1449198598181704E-2</v>
      </c>
      <c r="AG51" s="33">
        <v>122172</v>
      </c>
      <c r="AH51" s="33">
        <v>122172</v>
      </c>
      <c r="AI51" s="33">
        <v>0</v>
      </c>
      <c r="AJ51" s="33">
        <v>105814</v>
      </c>
      <c r="AK51" s="33">
        <v>0</v>
      </c>
      <c r="AL51" s="33">
        <v>0</v>
      </c>
      <c r="AM51" s="33">
        <v>0</v>
      </c>
      <c r="AN51" s="33">
        <v>3981</v>
      </c>
      <c r="AO51" s="33">
        <v>4138</v>
      </c>
      <c r="AP51" s="35">
        <v>26</v>
      </c>
    </row>
    <row r="52" spans="1:42">
      <c r="A52" s="5">
        <v>5</v>
      </c>
      <c r="B52" s="22" t="s">
        <v>49</v>
      </c>
      <c r="C52" s="17" t="s">
        <v>484</v>
      </c>
      <c r="D52" s="22" t="s">
        <v>353</v>
      </c>
      <c r="E52" s="22" t="s">
        <v>269</v>
      </c>
      <c r="F52" s="33">
        <v>8308153</v>
      </c>
      <c r="G52" s="33">
        <v>181197</v>
      </c>
      <c r="H52" s="33">
        <v>3516603</v>
      </c>
      <c r="I52" s="33">
        <v>537646</v>
      </c>
      <c r="J52" s="33">
        <v>2755455</v>
      </c>
      <c r="K52" s="33">
        <v>8033054</v>
      </c>
      <c r="L52" s="28">
        <v>1.4</v>
      </c>
      <c r="M52" s="31">
        <f>545343/8033054</f>
        <v>6.7887381312263059E-2</v>
      </c>
      <c r="N52" s="33">
        <v>546121</v>
      </c>
      <c r="O52" s="33">
        <v>115220</v>
      </c>
      <c r="P52" s="33">
        <v>0</v>
      </c>
      <c r="Q52" s="33">
        <v>261843</v>
      </c>
      <c r="R52" s="33">
        <v>20248</v>
      </c>
      <c r="S52" s="33">
        <v>43226</v>
      </c>
      <c r="T52" s="33">
        <v>23013</v>
      </c>
      <c r="U52" s="33">
        <v>1472</v>
      </c>
      <c r="V52" s="33">
        <v>0</v>
      </c>
      <c r="W52" s="33">
        <v>6300</v>
      </c>
      <c r="X52" s="33">
        <v>3861</v>
      </c>
      <c r="Y52" s="33">
        <f>9446+20995+13713</f>
        <v>44154</v>
      </c>
      <c r="Z52" s="33">
        <v>6459</v>
      </c>
      <c r="AA52" s="33">
        <v>0</v>
      </c>
      <c r="AB52" s="33">
        <v>0</v>
      </c>
      <c r="AC52" s="33">
        <v>37158</v>
      </c>
      <c r="AD52" s="33">
        <v>27828</v>
      </c>
      <c r="AE52" s="33">
        <v>508071</v>
      </c>
      <c r="AF52" s="31">
        <f t="shared" si="6"/>
        <v>5.4771872435151782E-2</v>
      </c>
      <c r="AG52" s="33">
        <v>122177</v>
      </c>
      <c r="AH52" s="33">
        <v>122177</v>
      </c>
      <c r="AI52" s="33">
        <v>0</v>
      </c>
      <c r="AJ52" s="33">
        <v>43403</v>
      </c>
      <c r="AK52" s="33">
        <v>0</v>
      </c>
      <c r="AL52" s="33">
        <v>0</v>
      </c>
      <c r="AM52" s="33">
        <v>0</v>
      </c>
      <c r="AN52" s="33">
        <v>2966</v>
      </c>
      <c r="AO52" s="33">
        <v>2748</v>
      </c>
      <c r="AP52" s="35">
        <v>3</v>
      </c>
    </row>
    <row r="53" spans="1:42">
      <c r="A53" s="5">
        <v>5</v>
      </c>
      <c r="B53" s="22" t="s">
        <v>52</v>
      </c>
      <c r="C53" s="17" t="s">
        <v>239</v>
      </c>
      <c r="D53" s="22" t="s">
        <v>212</v>
      </c>
      <c r="E53" s="22" t="s">
        <v>339</v>
      </c>
      <c r="F53" s="33">
        <v>6507918</v>
      </c>
      <c r="G53" s="33">
        <v>122085</v>
      </c>
      <c r="H53" s="33">
        <v>4648880</v>
      </c>
      <c r="I53" s="33">
        <v>229352</v>
      </c>
      <c r="J53" s="33">
        <v>736340</v>
      </c>
      <c r="K53" s="33">
        <v>6308319</v>
      </c>
      <c r="L53" s="28">
        <v>1</v>
      </c>
      <c r="M53" s="31">
        <f>405059/6308319</f>
        <v>6.4210291204360462E-2</v>
      </c>
      <c r="N53" s="33">
        <v>377501</v>
      </c>
      <c r="O53" s="33">
        <v>147465</v>
      </c>
      <c r="P53" s="33">
        <v>0</v>
      </c>
      <c r="Q53" s="33">
        <v>180366</v>
      </c>
      <c r="R53" s="33">
        <v>13798</v>
      </c>
      <c r="S53" s="33">
        <v>23134</v>
      </c>
      <c r="T53" s="33">
        <f>27384+6823</f>
        <v>34207</v>
      </c>
      <c r="U53" s="33">
        <v>2800</v>
      </c>
      <c r="V53" s="33">
        <v>11956</v>
      </c>
      <c r="W53" s="33">
        <v>6300</v>
      </c>
      <c r="X53" s="33">
        <v>445</v>
      </c>
      <c r="Y53" s="33">
        <f>9934+18578+17641</f>
        <v>46153</v>
      </c>
      <c r="Z53" s="33">
        <v>4750</v>
      </c>
      <c r="AA53" s="33">
        <f>611+347+601</f>
        <v>1559</v>
      </c>
      <c r="AB53" s="33">
        <v>0</v>
      </c>
      <c r="AC53" s="33">
        <v>16199</v>
      </c>
      <c r="AD53" s="33">
        <v>244682</v>
      </c>
      <c r="AE53" s="33">
        <v>379620</v>
      </c>
      <c r="AF53" s="31">
        <f t="shared" si="6"/>
        <v>0.64454454454454457</v>
      </c>
      <c r="AG53" s="33">
        <v>122177</v>
      </c>
      <c r="AH53" s="33">
        <v>122177</v>
      </c>
      <c r="AI53" s="33">
        <v>0</v>
      </c>
      <c r="AJ53" s="33">
        <v>35939</v>
      </c>
      <c r="AK53" s="33">
        <v>0</v>
      </c>
      <c r="AL53" s="33">
        <v>0</v>
      </c>
      <c r="AM53" s="33">
        <v>0</v>
      </c>
      <c r="AN53" s="33">
        <v>1642</v>
      </c>
      <c r="AO53" s="33">
        <v>1897</v>
      </c>
      <c r="AP53" s="35">
        <v>5</v>
      </c>
    </row>
    <row r="54" spans="1:42">
      <c r="A54" s="5">
        <v>5</v>
      </c>
      <c r="B54" s="22" t="s">
        <v>129</v>
      </c>
      <c r="C54" s="17" t="s">
        <v>381</v>
      </c>
      <c r="D54" s="22" t="s">
        <v>470</v>
      </c>
      <c r="E54" s="22" t="s">
        <v>269</v>
      </c>
      <c r="F54" s="33">
        <v>24451357</v>
      </c>
      <c r="G54" s="33">
        <v>884852</v>
      </c>
      <c r="H54" s="33">
        <v>14681850</v>
      </c>
      <c r="I54" s="33">
        <v>1175314</v>
      </c>
      <c r="J54" s="33">
        <v>4481383</v>
      </c>
      <c r="K54" s="33">
        <v>23561811</v>
      </c>
      <c r="L54" s="28">
        <v>0.29599999999999999</v>
      </c>
      <c r="M54" s="31">
        <f>1062499/23558461</f>
        <v>4.5100526727955614E-2</v>
      </c>
      <c r="N54" s="33">
        <v>1062690</v>
      </c>
      <c r="O54" s="33">
        <v>164277</v>
      </c>
      <c r="P54" s="33">
        <v>0</v>
      </c>
      <c r="Q54" s="33">
        <v>492202</v>
      </c>
      <c r="R54" s="33">
        <v>40994</v>
      </c>
      <c r="S54" s="33">
        <f>83757+59064</f>
        <v>142821</v>
      </c>
      <c r="T54" s="33">
        <v>65370</v>
      </c>
      <c r="U54" s="33">
        <v>0</v>
      </c>
      <c r="V54" s="33">
        <v>0</v>
      </c>
      <c r="W54" s="33">
        <v>8100</v>
      </c>
      <c r="X54" s="33">
        <v>0</v>
      </c>
      <c r="Y54" s="33">
        <f>8789+60625+29177</f>
        <v>98591</v>
      </c>
      <c r="Z54" s="33">
        <v>4417</v>
      </c>
      <c r="AA54" s="33">
        <f>6448+785+2048</f>
        <v>9281</v>
      </c>
      <c r="AB54" s="33">
        <v>0</v>
      </c>
      <c r="AC54" s="33">
        <v>85723</v>
      </c>
      <c r="AD54" s="33">
        <v>54558</v>
      </c>
      <c r="AE54" s="33">
        <v>1029580</v>
      </c>
      <c r="AF54" s="31">
        <f t="shared" si="6"/>
        <v>5.2990539831776061E-2</v>
      </c>
      <c r="AG54" s="33">
        <v>122177</v>
      </c>
      <c r="AH54" s="33">
        <v>122177</v>
      </c>
      <c r="AI54" s="33">
        <v>0</v>
      </c>
      <c r="AJ54" s="33">
        <v>126806</v>
      </c>
      <c r="AK54" s="33">
        <v>0</v>
      </c>
      <c r="AL54" s="33">
        <v>0</v>
      </c>
      <c r="AM54" s="33">
        <v>0</v>
      </c>
      <c r="AN54" s="33">
        <v>6195</v>
      </c>
      <c r="AO54" s="33">
        <v>5682</v>
      </c>
      <c r="AP54" s="35">
        <v>5</v>
      </c>
    </row>
    <row r="55" spans="1:42">
      <c r="A55" s="5">
        <v>5</v>
      </c>
      <c r="B55" s="22" t="s">
        <v>186</v>
      </c>
      <c r="C55" s="17" t="s">
        <v>27</v>
      </c>
      <c r="D55" s="22" t="s">
        <v>47</v>
      </c>
      <c r="E55" s="22" t="s">
        <v>269</v>
      </c>
      <c r="F55" s="33">
        <v>4062862</v>
      </c>
      <c r="G55" s="33">
        <v>222930</v>
      </c>
      <c r="H55" s="33">
        <v>1944345</v>
      </c>
      <c r="I55" s="33">
        <v>253242</v>
      </c>
      <c r="J55" s="33">
        <v>1065404</v>
      </c>
      <c r="K55" s="33">
        <v>3912814</v>
      </c>
      <c r="L55" s="28">
        <v>0.45</v>
      </c>
      <c r="M55" s="31">
        <f>337879/3851230</f>
        <v>8.7732750316132771E-2</v>
      </c>
      <c r="N55" s="33">
        <v>337891</v>
      </c>
      <c r="O55" s="33">
        <v>39980</v>
      </c>
      <c r="P55" s="33">
        <v>0</v>
      </c>
      <c r="Q55" s="33">
        <v>99040</v>
      </c>
      <c r="R55" s="33">
        <v>7722</v>
      </c>
      <c r="S55" s="33">
        <v>13372</v>
      </c>
      <c r="T55" s="33">
        <f>19125+3587</f>
        <v>22712</v>
      </c>
      <c r="U55" s="33">
        <v>1300</v>
      </c>
      <c r="V55" s="33">
        <v>6159</v>
      </c>
      <c r="W55" s="33">
        <v>6300</v>
      </c>
      <c r="X55" s="33">
        <v>0</v>
      </c>
      <c r="Y55" s="33">
        <f>4966+10946+8437</f>
        <v>24349</v>
      </c>
      <c r="Z55" s="33">
        <v>4105</v>
      </c>
      <c r="AA55" s="33">
        <v>60</v>
      </c>
      <c r="AB55" s="33">
        <v>2733</v>
      </c>
      <c r="AC55" s="33">
        <v>32960</v>
      </c>
      <c r="AD55" s="33">
        <v>35887</v>
      </c>
      <c r="AE55" s="33">
        <v>237668</v>
      </c>
      <c r="AF55" s="31">
        <f t="shared" si="6"/>
        <v>0.1509963478465759</v>
      </c>
      <c r="AG55" s="33">
        <v>122177</v>
      </c>
      <c r="AH55" s="33">
        <v>122177</v>
      </c>
      <c r="AI55" s="33">
        <v>0</v>
      </c>
      <c r="AJ55" s="33">
        <v>40115</v>
      </c>
      <c r="AK55" s="33">
        <v>0</v>
      </c>
      <c r="AL55" s="33">
        <v>0</v>
      </c>
      <c r="AM55" s="33">
        <v>0</v>
      </c>
      <c r="AN55" s="33">
        <v>1209</v>
      </c>
      <c r="AO55" s="33">
        <v>1122</v>
      </c>
      <c r="AP55" s="35">
        <v>0</v>
      </c>
    </row>
    <row r="56" spans="1:42">
      <c r="A56" s="5">
        <v>5</v>
      </c>
      <c r="B56" s="22" t="s">
        <v>434</v>
      </c>
      <c r="C56" s="17" t="s">
        <v>257</v>
      </c>
      <c r="D56" s="22" t="s">
        <v>272</v>
      </c>
      <c r="E56" s="22" t="s">
        <v>269</v>
      </c>
      <c r="F56" s="33">
        <v>4683029</v>
      </c>
      <c r="G56" s="33">
        <v>84151</v>
      </c>
      <c r="H56" s="33">
        <v>2726073</v>
      </c>
      <c r="I56" s="33">
        <v>221489</v>
      </c>
      <c r="J56" s="33">
        <v>852421</v>
      </c>
      <c r="K56" s="33">
        <v>4520208</v>
      </c>
      <c r="L56" s="28">
        <v>1.24</v>
      </c>
      <c r="M56" s="31">
        <f>316193/4520208</f>
        <v>6.9950984556462883E-2</v>
      </c>
      <c r="N56" s="33">
        <v>313863</v>
      </c>
      <c r="O56" s="33">
        <v>48500</v>
      </c>
      <c r="P56" s="33">
        <v>0</v>
      </c>
      <c r="Q56" s="33">
        <v>80834</v>
      </c>
      <c r="R56" s="33">
        <v>7573</v>
      </c>
      <c r="S56" s="33">
        <v>4345</v>
      </c>
      <c r="T56" s="33">
        <v>10964</v>
      </c>
      <c r="U56" s="33">
        <v>6173</v>
      </c>
      <c r="V56" s="33">
        <v>42188</v>
      </c>
      <c r="W56" s="33">
        <v>6300</v>
      </c>
      <c r="X56" s="33">
        <v>0</v>
      </c>
      <c r="Y56" s="33">
        <f>4690+17880+4528</f>
        <v>27098</v>
      </c>
      <c r="Z56" s="33">
        <v>3688</v>
      </c>
      <c r="AA56" s="33">
        <v>1590</v>
      </c>
      <c r="AB56" s="33">
        <v>0</v>
      </c>
      <c r="AC56" s="33">
        <v>4049</v>
      </c>
      <c r="AD56" s="33">
        <v>18408</v>
      </c>
      <c r="AE56" s="33">
        <v>206105</v>
      </c>
      <c r="AF56" s="31">
        <f t="shared" si="6"/>
        <v>8.9313699328012419E-2</v>
      </c>
      <c r="AG56" s="33">
        <v>122177</v>
      </c>
      <c r="AH56" s="33">
        <v>122177</v>
      </c>
      <c r="AI56" s="33">
        <v>0</v>
      </c>
      <c r="AJ56" s="33">
        <v>38241</v>
      </c>
      <c r="AK56" s="33">
        <v>3203</v>
      </c>
      <c r="AL56" s="33">
        <v>3203</v>
      </c>
      <c r="AM56" s="33">
        <v>0</v>
      </c>
      <c r="AN56" s="33">
        <v>1415</v>
      </c>
      <c r="AO56" s="33">
        <v>1206</v>
      </c>
      <c r="AP56" s="35">
        <v>16</v>
      </c>
    </row>
    <row r="57" spans="1:42">
      <c r="A57" s="5">
        <v>5</v>
      </c>
      <c r="B57" s="22" t="s">
        <v>472</v>
      </c>
      <c r="C57" s="17" t="s">
        <v>143</v>
      </c>
      <c r="D57" s="22" t="s">
        <v>201</v>
      </c>
      <c r="E57" s="22" t="s">
        <v>339</v>
      </c>
      <c r="F57" s="33">
        <v>5375626</v>
      </c>
      <c r="G57" s="33">
        <v>101505</v>
      </c>
      <c r="H57" s="33">
        <v>3452837</v>
      </c>
      <c r="I57" s="33">
        <v>293722</v>
      </c>
      <c r="J57" s="33">
        <v>932496</v>
      </c>
      <c r="K57" s="33">
        <v>5302258</v>
      </c>
      <c r="L57" s="28">
        <v>0.49</v>
      </c>
      <c r="M57" s="31">
        <f>396777/5302077</f>
        <v>7.4834258348190713E-2</v>
      </c>
      <c r="N57" s="33">
        <v>383151</v>
      </c>
      <c r="O57" s="33">
        <v>121491</v>
      </c>
      <c r="P57" s="33">
        <v>0</v>
      </c>
      <c r="Q57" s="33">
        <v>161130</v>
      </c>
      <c r="R57" s="33">
        <v>14848</v>
      </c>
      <c r="S57" s="33">
        <v>10780</v>
      </c>
      <c r="T57" s="33">
        <f>15600+2774</f>
        <v>18374</v>
      </c>
      <c r="U57" s="33">
        <v>8100</v>
      </c>
      <c r="V57" s="33">
        <v>73667</v>
      </c>
      <c r="W57" s="33">
        <v>6300</v>
      </c>
      <c r="X57" s="33">
        <v>0</v>
      </c>
      <c r="Y57" s="33">
        <f>6078+16372+10877</f>
        <v>33327</v>
      </c>
      <c r="Z57" s="33">
        <v>3313</v>
      </c>
      <c r="AA57" s="33">
        <v>915</v>
      </c>
      <c r="AB57" s="33">
        <v>0</v>
      </c>
      <c r="AC57" s="33">
        <v>1657</v>
      </c>
      <c r="AD57" s="33">
        <v>24452</v>
      </c>
      <c r="AE57" s="33">
        <v>348207</v>
      </c>
      <c r="AF57" s="31">
        <f t="shared" si="6"/>
        <v>7.0222597477936979E-2</v>
      </c>
      <c r="AG57" s="33">
        <v>122177</v>
      </c>
      <c r="AH57" s="33">
        <v>122177</v>
      </c>
      <c r="AI57" s="33">
        <v>0</v>
      </c>
      <c r="AJ57" s="33">
        <v>42835</v>
      </c>
      <c r="AK57" s="33">
        <v>0</v>
      </c>
      <c r="AL57" s="33">
        <v>0</v>
      </c>
      <c r="AM57" s="33">
        <v>0</v>
      </c>
      <c r="AN57" s="33">
        <v>1497</v>
      </c>
      <c r="AO57" s="33">
        <v>1614</v>
      </c>
      <c r="AP57" s="35">
        <v>23</v>
      </c>
    </row>
    <row r="58" spans="1:42">
      <c r="A58" s="5">
        <v>6</v>
      </c>
      <c r="B58" s="22" t="s">
        <v>46</v>
      </c>
      <c r="C58" s="17" t="s">
        <v>336</v>
      </c>
      <c r="D58" s="22" t="s">
        <v>126</v>
      </c>
      <c r="E58" s="22" t="s">
        <v>518</v>
      </c>
      <c r="F58" s="33">
        <v>30312612</v>
      </c>
      <c r="G58" s="33">
        <v>944537</v>
      </c>
      <c r="H58" s="33">
        <v>13851099</v>
      </c>
      <c r="I58" s="33">
        <v>5522189</v>
      </c>
      <c r="J58" s="33">
        <v>2129469</v>
      </c>
      <c r="K58" s="33">
        <v>27289937</v>
      </c>
      <c r="L58" s="28">
        <v>2.09</v>
      </c>
      <c r="M58" s="31">
        <f>2173660/27170755</f>
        <v>7.9999985278289096E-2</v>
      </c>
      <c r="N58" s="33">
        <v>2173352</v>
      </c>
      <c r="O58" s="33">
        <v>436598</v>
      </c>
      <c r="P58" s="33">
        <v>0</v>
      </c>
      <c r="Q58" s="33">
        <v>1082247</v>
      </c>
      <c r="R58" s="33">
        <v>87820</v>
      </c>
      <c r="S58" s="33">
        <v>185257</v>
      </c>
      <c r="T58" s="33">
        <f>242504+14318</f>
        <v>256822</v>
      </c>
      <c r="U58" s="33">
        <v>84097</v>
      </c>
      <c r="V58" s="33">
        <v>0</v>
      </c>
      <c r="W58" s="33">
        <v>16055</v>
      </c>
      <c r="X58" s="33">
        <v>520</v>
      </c>
      <c r="Y58" s="33">
        <f>41868+65042+102165</f>
        <v>209075</v>
      </c>
      <c r="Z58" s="33">
        <v>14667</v>
      </c>
      <c r="AA58" s="33">
        <f>531+782+908</f>
        <v>2221</v>
      </c>
      <c r="AB58" s="33">
        <v>5586</v>
      </c>
      <c r="AC58" s="33">
        <v>199418</v>
      </c>
      <c r="AD58" s="33">
        <v>124918</v>
      </c>
      <c r="AE58" s="33">
        <v>2386378</v>
      </c>
      <c r="AF58" s="31">
        <f t="shared" si="6"/>
        <v>5.2346275401466157E-2</v>
      </c>
      <c r="AG58" s="33">
        <v>122177</v>
      </c>
      <c r="AH58" s="33">
        <v>122177</v>
      </c>
      <c r="AI58" s="33">
        <v>0</v>
      </c>
      <c r="AJ58" s="33">
        <v>393444</v>
      </c>
      <c r="AK58" s="33">
        <v>0</v>
      </c>
      <c r="AL58" s="33">
        <v>0</v>
      </c>
      <c r="AM58" s="33">
        <v>0</v>
      </c>
      <c r="AN58" s="33">
        <v>9218</v>
      </c>
      <c r="AO58" s="33">
        <v>9108</v>
      </c>
      <c r="AP58" s="35">
        <v>69</v>
      </c>
    </row>
    <row r="59" spans="1:42">
      <c r="A59" s="5">
        <v>6</v>
      </c>
      <c r="B59" s="22" t="s">
        <v>199</v>
      </c>
      <c r="C59" s="17" t="s">
        <v>207</v>
      </c>
      <c r="D59" s="22" t="s">
        <v>519</v>
      </c>
      <c r="E59" s="22" t="s">
        <v>518</v>
      </c>
      <c r="F59" s="33">
        <v>17485397</v>
      </c>
      <c r="G59" s="33">
        <v>674517</v>
      </c>
      <c r="H59" s="33">
        <v>8806371</v>
      </c>
      <c r="I59" s="33">
        <v>2636639</v>
      </c>
      <c r="J59" s="33">
        <v>1247464</v>
      </c>
      <c r="K59" s="33">
        <v>16370126</v>
      </c>
      <c r="L59" s="28">
        <v>1.6</v>
      </c>
      <c r="M59" s="31">
        <f>964272/16370126</f>
        <v>5.8904372513687429E-2</v>
      </c>
      <c r="N59" s="33">
        <v>962267</v>
      </c>
      <c r="O59" s="33">
        <v>157100</v>
      </c>
      <c r="P59" s="33">
        <v>0</v>
      </c>
      <c r="Q59" s="33">
        <v>255250</v>
      </c>
      <c r="R59" s="33">
        <v>20765</v>
      </c>
      <c r="S59" s="33">
        <v>43678</v>
      </c>
      <c r="T59" s="33">
        <v>39689</v>
      </c>
      <c r="U59" s="33">
        <v>17158</v>
      </c>
      <c r="V59" s="33">
        <v>279619</v>
      </c>
      <c r="W59" s="33">
        <v>6400</v>
      </c>
      <c r="X59" s="33">
        <v>46706</v>
      </c>
      <c r="Y59" s="33">
        <f>9348+30605+33894</f>
        <v>73847</v>
      </c>
      <c r="Z59" s="33">
        <v>4254</v>
      </c>
      <c r="AA59" s="33">
        <f>7073+10862+6407+320</f>
        <v>24662</v>
      </c>
      <c r="AB59" s="33">
        <v>20607</v>
      </c>
      <c r="AC59" s="33">
        <v>52908</v>
      </c>
      <c r="AD59" s="33">
        <v>301245</v>
      </c>
      <c r="AE59" s="33">
        <v>949209</v>
      </c>
      <c r="AF59" s="31">
        <f t="shared" si="6"/>
        <v>0.31736424749449277</v>
      </c>
      <c r="AG59" s="33">
        <v>122177</v>
      </c>
      <c r="AH59" s="33">
        <v>122177</v>
      </c>
      <c r="AI59" s="33">
        <v>0</v>
      </c>
      <c r="AJ59" s="33">
        <v>119263</v>
      </c>
      <c r="AK59" s="33">
        <v>0</v>
      </c>
      <c r="AL59" s="33">
        <v>0</v>
      </c>
      <c r="AM59" s="33">
        <v>0</v>
      </c>
      <c r="AN59" s="33">
        <v>5113</v>
      </c>
      <c r="AO59" s="33">
        <v>4003</v>
      </c>
      <c r="AP59" s="35">
        <v>89</v>
      </c>
    </row>
    <row r="60" spans="1:42">
      <c r="A60" s="5">
        <v>6</v>
      </c>
      <c r="B60" s="22" t="s">
        <v>363</v>
      </c>
      <c r="C60" s="17" t="s">
        <v>528</v>
      </c>
      <c r="D60" s="22" t="s">
        <v>296</v>
      </c>
      <c r="E60" s="22" t="s">
        <v>518</v>
      </c>
      <c r="F60" s="33">
        <v>6090323</v>
      </c>
      <c r="G60" s="33">
        <v>178674</v>
      </c>
      <c r="H60" s="33">
        <v>3043799</v>
      </c>
      <c r="I60" s="33">
        <v>593985</v>
      </c>
      <c r="J60" s="33">
        <v>1024316</v>
      </c>
      <c r="K60" s="33">
        <v>5918861</v>
      </c>
      <c r="L60" s="28">
        <v>0.74</v>
      </c>
      <c r="M60" s="31">
        <f>557387/5867231</f>
        <v>9.5000009374098277E-2</v>
      </c>
      <c r="N60" s="33">
        <v>557395</v>
      </c>
      <c r="O60" s="33">
        <v>200</v>
      </c>
      <c r="P60" s="33">
        <v>42450</v>
      </c>
      <c r="Q60" s="33">
        <v>239830</v>
      </c>
      <c r="R60" s="33">
        <v>20599</v>
      </c>
      <c r="S60" s="33">
        <v>27673</v>
      </c>
      <c r="T60" s="33">
        <v>36842</v>
      </c>
      <c r="U60" s="33">
        <v>22650</v>
      </c>
      <c r="V60" s="33">
        <v>16248</v>
      </c>
      <c r="W60" s="33">
        <v>4600</v>
      </c>
      <c r="X60" s="33">
        <v>20944</v>
      </c>
      <c r="Y60" s="33">
        <f>11651+23842+11079</f>
        <v>46572</v>
      </c>
      <c r="Z60" s="33">
        <v>2631</v>
      </c>
      <c r="AA60" s="33">
        <f>8298+12061+224+3412</f>
        <v>23995</v>
      </c>
      <c r="AB60" s="33">
        <v>767</v>
      </c>
      <c r="AC60" s="33">
        <v>33548</v>
      </c>
      <c r="AD60" s="33">
        <v>13890</v>
      </c>
      <c r="AE60" s="33">
        <v>524010</v>
      </c>
      <c r="AF60" s="31">
        <f t="shared" si="6"/>
        <v>2.6507127726570105E-2</v>
      </c>
      <c r="AG60" s="33">
        <v>88470</v>
      </c>
      <c r="AH60" s="33">
        <v>88621</v>
      </c>
      <c r="AI60" s="33">
        <v>0</v>
      </c>
      <c r="AJ60" s="33">
        <v>778</v>
      </c>
      <c r="AK60" s="33">
        <v>0</v>
      </c>
      <c r="AL60" s="33">
        <v>0</v>
      </c>
      <c r="AM60" s="33">
        <v>0</v>
      </c>
      <c r="AN60" s="33">
        <v>1674</v>
      </c>
      <c r="AO60" s="33">
        <v>1443</v>
      </c>
      <c r="AP60" s="35">
        <v>13</v>
      </c>
    </row>
    <row r="61" spans="1:42">
      <c r="A61" s="5">
        <v>6</v>
      </c>
      <c r="B61" s="22" t="s">
        <v>514</v>
      </c>
      <c r="C61" s="17" t="s">
        <v>506</v>
      </c>
      <c r="D61" s="22" t="s">
        <v>175</v>
      </c>
      <c r="E61" s="22" t="s">
        <v>518</v>
      </c>
      <c r="F61" s="33">
        <v>17652628</v>
      </c>
      <c r="G61" s="33">
        <v>425092</v>
      </c>
      <c r="H61" s="33">
        <v>8102589</v>
      </c>
      <c r="I61" s="33">
        <v>3335973</v>
      </c>
      <c r="J61" s="33">
        <v>1418836</v>
      </c>
      <c r="K61" s="33">
        <v>16116001</v>
      </c>
      <c r="L61" s="28">
        <v>1.74</v>
      </c>
      <c r="M61" s="31">
        <f>1280127/16001591</f>
        <v>7.999998250173998E-2</v>
      </c>
      <c r="N61" s="33">
        <v>1279076</v>
      </c>
      <c r="O61" s="33">
        <v>237526</v>
      </c>
      <c r="P61" s="33">
        <v>0</v>
      </c>
      <c r="Q61" s="33">
        <v>616461</v>
      </c>
      <c r="R61" s="33">
        <v>50023</v>
      </c>
      <c r="S61" s="33">
        <v>105525</v>
      </c>
      <c r="T61" s="33">
        <f>138133+8156</f>
        <v>146289</v>
      </c>
      <c r="U61" s="33">
        <v>47903</v>
      </c>
      <c r="V61" s="33">
        <v>0</v>
      </c>
      <c r="W61" s="33">
        <v>9145</v>
      </c>
      <c r="X61" s="33">
        <v>296</v>
      </c>
      <c r="Y61" s="33">
        <f>23849+37049+58195</f>
        <v>119093</v>
      </c>
      <c r="Z61" s="33">
        <v>8354</v>
      </c>
      <c r="AA61" s="33">
        <f>303+445+517</f>
        <v>1265</v>
      </c>
      <c r="AB61" s="33">
        <v>3182</v>
      </c>
      <c r="AC61" s="33">
        <v>113591</v>
      </c>
      <c r="AD61" s="33">
        <v>60257</v>
      </c>
      <c r="AE61" s="33">
        <v>1359299</v>
      </c>
      <c r="AF61" s="31">
        <f t="shared" si="6"/>
        <v>4.432946687961957E-2</v>
      </c>
      <c r="AG61" s="33">
        <v>122177</v>
      </c>
      <c r="AH61" s="33">
        <v>122177</v>
      </c>
      <c r="AI61" s="33">
        <v>0</v>
      </c>
      <c r="AJ61" s="33">
        <v>149672</v>
      </c>
      <c r="AK61" s="33">
        <v>0</v>
      </c>
      <c r="AL61" s="33">
        <v>0</v>
      </c>
      <c r="AM61" s="33">
        <v>0</v>
      </c>
      <c r="AN61" s="33">
        <v>4904</v>
      </c>
      <c r="AO61" s="33">
        <v>4583</v>
      </c>
      <c r="AP61" s="35">
        <v>12</v>
      </c>
    </row>
    <row r="62" spans="1:42">
      <c r="A62" s="5">
        <v>6</v>
      </c>
      <c r="B62" s="22" t="s">
        <v>545</v>
      </c>
      <c r="C62" s="17" t="s">
        <v>428</v>
      </c>
      <c r="D62" s="22" t="s">
        <v>296</v>
      </c>
      <c r="E62" s="22" t="s">
        <v>518</v>
      </c>
      <c r="F62" s="33">
        <v>2717894</v>
      </c>
      <c r="G62" s="33">
        <v>56820</v>
      </c>
      <c r="H62" s="33">
        <v>1371348</v>
      </c>
      <c r="I62" s="33">
        <v>236508</v>
      </c>
      <c r="J62" s="33">
        <v>365236</v>
      </c>
      <c r="K62" s="33">
        <v>2618439</v>
      </c>
      <c r="L62" s="28">
        <v>0.36</v>
      </c>
      <c r="M62" s="31">
        <f>259374/2593743</f>
        <v>9.9999884337037243E-2</v>
      </c>
      <c r="N62" s="33">
        <v>259374</v>
      </c>
      <c r="O62" s="33">
        <v>17</v>
      </c>
      <c r="P62" s="33">
        <v>0</v>
      </c>
      <c r="Q62" s="33">
        <v>77730</v>
      </c>
      <c r="R62" s="33">
        <v>7319</v>
      </c>
      <c r="S62" s="33">
        <v>0</v>
      </c>
      <c r="T62" s="33">
        <v>9600</v>
      </c>
      <c r="U62" s="33">
        <v>8668</v>
      </c>
      <c r="V62" s="33">
        <v>6022</v>
      </c>
      <c r="W62" s="33">
        <v>4600</v>
      </c>
      <c r="X62" s="33">
        <v>0</v>
      </c>
      <c r="Y62" s="33">
        <f>423+13956+7211</f>
        <v>21590</v>
      </c>
      <c r="Z62" s="33">
        <v>5389</v>
      </c>
      <c r="AA62" s="33">
        <v>0</v>
      </c>
      <c r="AB62" s="33">
        <v>987</v>
      </c>
      <c r="AC62" s="33">
        <v>6184</v>
      </c>
      <c r="AD62" s="33">
        <v>17178</v>
      </c>
      <c r="AE62" s="33">
        <v>165326</v>
      </c>
      <c r="AF62" s="31">
        <f t="shared" si="6"/>
        <v>0.10390380218477432</v>
      </c>
      <c r="AG62" s="33">
        <v>121256</v>
      </c>
      <c r="AH62" s="33">
        <v>121257</v>
      </c>
      <c r="AI62" s="33">
        <v>0</v>
      </c>
      <c r="AJ62" s="33">
        <v>23</v>
      </c>
      <c r="AK62" s="33">
        <v>0</v>
      </c>
      <c r="AL62" s="33">
        <v>0</v>
      </c>
      <c r="AM62" s="33">
        <v>0</v>
      </c>
      <c r="AN62" s="33">
        <v>765</v>
      </c>
      <c r="AO62" s="33">
        <v>375</v>
      </c>
      <c r="AP62" s="35">
        <v>0</v>
      </c>
    </row>
    <row r="63" spans="1:42">
      <c r="A63" s="5">
        <v>7</v>
      </c>
      <c r="B63" s="22" t="s">
        <v>64</v>
      </c>
      <c r="C63" s="17" t="s">
        <v>103</v>
      </c>
      <c r="D63" s="22" t="s">
        <v>118</v>
      </c>
      <c r="E63" s="22" t="s">
        <v>518</v>
      </c>
      <c r="F63" s="33">
        <v>11609424</v>
      </c>
      <c r="G63" s="33">
        <v>476062</v>
      </c>
      <c r="H63" s="33">
        <v>6935999</v>
      </c>
      <c r="I63" s="33">
        <v>1127502</v>
      </c>
      <c r="J63" s="33">
        <v>755708</v>
      </c>
      <c r="K63" s="33">
        <v>10918755</v>
      </c>
      <c r="L63" s="28">
        <v>1.1200000000000001</v>
      </c>
      <c r="M63" s="31">
        <f>850839/10918755</f>
        <v>7.792454359494283E-2</v>
      </c>
      <c r="N63" s="33">
        <v>852715</v>
      </c>
      <c r="O63" s="33">
        <v>126909</v>
      </c>
      <c r="P63" s="33">
        <v>0</v>
      </c>
      <c r="Q63" s="33">
        <v>332651</v>
      </c>
      <c r="R63" s="33">
        <v>34496</v>
      </c>
      <c r="S63" s="33">
        <v>31555</v>
      </c>
      <c r="T63" s="33">
        <v>58030</v>
      </c>
      <c r="U63" s="33">
        <v>16800</v>
      </c>
      <c r="V63" s="33">
        <v>19172</v>
      </c>
      <c r="W63" s="33">
        <v>6600</v>
      </c>
      <c r="X63" s="33">
        <v>27680</v>
      </c>
      <c r="Y63" s="33">
        <f>20689+39919+42690</f>
        <v>103298</v>
      </c>
      <c r="Z63" s="33">
        <v>17092</v>
      </c>
      <c r="AA63" s="33">
        <f>4199+3820+1357</f>
        <v>9376</v>
      </c>
      <c r="AB63" s="33">
        <v>44348</v>
      </c>
      <c r="AC63" s="33">
        <v>40823</v>
      </c>
      <c r="AD63" s="33">
        <v>71868</v>
      </c>
      <c r="AE63" s="33">
        <v>803213</v>
      </c>
      <c r="AF63" s="31">
        <f t="shared" si="6"/>
        <v>8.9475643447005968E-2</v>
      </c>
      <c r="AG63" s="33">
        <v>122177</v>
      </c>
      <c r="AH63" s="33">
        <v>122177</v>
      </c>
      <c r="AI63" s="33">
        <v>0</v>
      </c>
      <c r="AJ63" s="33">
        <v>83609</v>
      </c>
      <c r="AK63" s="33">
        <v>0</v>
      </c>
      <c r="AL63" s="33">
        <v>0</v>
      </c>
      <c r="AM63" s="33">
        <v>0</v>
      </c>
      <c r="AN63" s="33">
        <v>3519</v>
      </c>
      <c r="AO63" s="33">
        <v>3126</v>
      </c>
      <c r="AP63" s="35">
        <v>0</v>
      </c>
    </row>
    <row r="64" spans="1:42">
      <c r="A64" s="5">
        <v>7</v>
      </c>
      <c r="B64" s="22" t="s">
        <v>68</v>
      </c>
      <c r="C64" s="17" t="s">
        <v>394</v>
      </c>
      <c r="D64" s="22" t="s">
        <v>152</v>
      </c>
      <c r="E64" s="22" t="s">
        <v>518</v>
      </c>
      <c r="F64" s="33">
        <v>11660695</v>
      </c>
      <c r="G64" s="33">
        <v>310794</v>
      </c>
      <c r="H64" s="33">
        <v>4658661</v>
      </c>
      <c r="I64" s="33">
        <v>1132298</v>
      </c>
      <c r="J64" s="33">
        <v>3298886</v>
      </c>
      <c r="K64" s="33">
        <v>11408496</v>
      </c>
      <c r="L64" s="28">
        <v>0.21</v>
      </c>
      <c r="M64" s="31">
        <f>850619/11341585</f>
        <v>7.5000011021387217E-2</v>
      </c>
      <c r="N64" s="33">
        <v>847983</v>
      </c>
      <c r="O64" s="33">
        <v>131674</v>
      </c>
      <c r="P64" s="33">
        <v>0</v>
      </c>
      <c r="Q64" s="33">
        <v>360078</v>
      </c>
      <c r="R64" s="33">
        <v>30232</v>
      </c>
      <c r="S64" s="33">
        <v>88025</v>
      </c>
      <c r="T64" s="33">
        <f>39800+9778</f>
        <v>49578</v>
      </c>
      <c r="U64" s="33">
        <v>2775</v>
      </c>
      <c r="V64" s="33">
        <v>40562</v>
      </c>
      <c r="W64" s="33">
        <v>7500</v>
      </c>
      <c r="X64" s="33">
        <v>1876</v>
      </c>
      <c r="Y64" s="33">
        <f>10149+53177+27122</f>
        <v>90448</v>
      </c>
      <c r="Z64" s="33">
        <v>10229</v>
      </c>
      <c r="AA64" s="33">
        <v>0</v>
      </c>
      <c r="AB64" s="33">
        <v>3121</v>
      </c>
      <c r="AC64" s="33">
        <v>48293</v>
      </c>
      <c r="AD64" s="33">
        <v>87020</v>
      </c>
      <c r="AE64" s="33">
        <v>834360</v>
      </c>
      <c r="AF64" s="31">
        <f t="shared" si="6"/>
        <v>0.10429550793422504</v>
      </c>
      <c r="AG64" s="33">
        <v>122177</v>
      </c>
      <c r="AH64" s="33">
        <v>122177</v>
      </c>
      <c r="AI64" s="33">
        <v>0</v>
      </c>
      <c r="AJ64" s="33">
        <v>113660</v>
      </c>
      <c r="AK64" s="33">
        <v>0</v>
      </c>
      <c r="AL64" s="33">
        <v>0</v>
      </c>
      <c r="AM64" s="33">
        <v>0</v>
      </c>
      <c r="AN64" s="33">
        <v>3770</v>
      </c>
      <c r="AO64" s="33">
        <v>3665</v>
      </c>
      <c r="AP64" s="35">
        <v>20</v>
      </c>
    </row>
    <row r="65" spans="1:42">
      <c r="A65" s="5">
        <v>7</v>
      </c>
      <c r="B65" s="22" t="s">
        <v>214</v>
      </c>
      <c r="C65" s="17" t="s">
        <v>543</v>
      </c>
      <c r="D65" s="22" t="s">
        <v>226</v>
      </c>
      <c r="E65" s="22" t="s">
        <v>518</v>
      </c>
      <c r="F65" s="33">
        <v>15019461</v>
      </c>
      <c r="G65" s="33">
        <v>429951</v>
      </c>
      <c r="H65" s="33">
        <v>8310844</v>
      </c>
      <c r="I65" s="33">
        <v>2171140</v>
      </c>
      <c r="J65" s="33">
        <v>1851565</v>
      </c>
      <c r="K65" s="33">
        <v>14502808</v>
      </c>
      <c r="L65" s="28">
        <v>0.89</v>
      </c>
      <c r="M65" s="31">
        <f>900537/14408595</f>
        <v>6.2499986986933841E-2</v>
      </c>
      <c r="N65" s="33">
        <v>900293</v>
      </c>
      <c r="O65" s="33">
        <v>195962</v>
      </c>
      <c r="P65" s="33">
        <v>0</v>
      </c>
      <c r="Q65" s="33">
        <v>395090</v>
      </c>
      <c r="R65" s="33">
        <v>31690</v>
      </c>
      <c r="S65" s="33">
        <v>45270</v>
      </c>
      <c r="T65" s="33">
        <v>92307</v>
      </c>
      <c r="U65" s="33">
        <v>8700</v>
      </c>
      <c r="V65" s="33">
        <v>20010</v>
      </c>
      <c r="W65" s="33">
        <v>7500</v>
      </c>
      <c r="X65" s="33">
        <v>0</v>
      </c>
      <c r="Y65" s="33">
        <f>12702+54913+38765</f>
        <v>106380</v>
      </c>
      <c r="Z65" s="33">
        <v>4378</v>
      </c>
      <c r="AA65" s="33">
        <v>0</v>
      </c>
      <c r="AB65" s="33">
        <v>0</v>
      </c>
      <c r="AC65" s="33">
        <v>117728</v>
      </c>
      <c r="AD65" s="33">
        <v>37208</v>
      </c>
      <c r="AE65" s="33">
        <v>909518</v>
      </c>
      <c r="AF65" s="31">
        <f t="shared" si="6"/>
        <v>4.0909580678997005E-2</v>
      </c>
      <c r="AG65" s="33">
        <v>122177</v>
      </c>
      <c r="AH65" s="33">
        <v>122177</v>
      </c>
      <c r="AI65" s="33">
        <v>0</v>
      </c>
      <c r="AJ65" s="33">
        <v>125933</v>
      </c>
      <c r="AK65" s="33">
        <v>0</v>
      </c>
      <c r="AL65" s="33">
        <v>0</v>
      </c>
      <c r="AM65" s="33">
        <v>0</v>
      </c>
      <c r="AN65" s="33">
        <v>3942</v>
      </c>
      <c r="AO65" s="33">
        <v>4007</v>
      </c>
      <c r="AP65" s="35">
        <v>24</v>
      </c>
    </row>
    <row r="66" spans="1:42">
      <c r="A66" s="5">
        <v>7</v>
      </c>
      <c r="B66" s="22" t="s">
        <v>217</v>
      </c>
      <c r="C66" s="17" t="s">
        <v>183</v>
      </c>
      <c r="D66" s="22" t="s">
        <v>36</v>
      </c>
      <c r="E66" s="22" t="s">
        <v>518</v>
      </c>
      <c r="F66" s="33">
        <v>22740379</v>
      </c>
      <c r="G66" s="33">
        <v>609432</v>
      </c>
      <c r="H66" s="33">
        <v>12284875</v>
      </c>
      <c r="I66" s="33">
        <v>2780307</v>
      </c>
      <c r="J66" s="33">
        <v>4430037</v>
      </c>
      <c r="K66" s="33">
        <v>22249384</v>
      </c>
      <c r="L66" s="28">
        <v>0.61</v>
      </c>
      <c r="M66" s="31">
        <f>1118222/22183796</f>
        <v>5.0407153040895256E-2</v>
      </c>
      <c r="N66" s="33">
        <v>1115642</v>
      </c>
      <c r="O66" s="33">
        <v>305309</v>
      </c>
      <c r="P66" s="33">
        <v>0</v>
      </c>
      <c r="Q66" s="33">
        <v>537399</v>
      </c>
      <c r="R66" s="33">
        <v>43655</v>
      </c>
      <c r="S66" s="33">
        <v>122878</v>
      </c>
      <c r="T66" s="33">
        <v>160076</v>
      </c>
      <c r="U66" s="33">
        <v>0</v>
      </c>
      <c r="V66" s="33">
        <v>19073</v>
      </c>
      <c r="W66" s="33">
        <v>10500</v>
      </c>
      <c r="X66" s="33">
        <v>1099</v>
      </c>
      <c r="Y66" s="33">
        <f>18245+60305+44813</f>
        <v>123363</v>
      </c>
      <c r="Z66" s="33">
        <v>9432</v>
      </c>
      <c r="AA66" s="33">
        <f>1773+824</f>
        <v>2597</v>
      </c>
      <c r="AB66" s="33">
        <v>1081</v>
      </c>
      <c r="AC66" s="33">
        <v>29991</v>
      </c>
      <c r="AD66" s="33">
        <v>2589</v>
      </c>
      <c r="AE66" s="33">
        <v>1179281</v>
      </c>
      <c r="AF66" s="31">
        <f t="shared" si="6"/>
        <v>2.1954055055580478E-3</v>
      </c>
      <c r="AG66" s="33">
        <v>122177</v>
      </c>
      <c r="AH66" s="33">
        <v>122177</v>
      </c>
      <c r="AI66" s="33">
        <v>0</v>
      </c>
      <c r="AJ66" s="33">
        <v>196337</v>
      </c>
      <c r="AK66" s="33">
        <v>0</v>
      </c>
      <c r="AL66" s="33">
        <v>0</v>
      </c>
      <c r="AM66" s="33">
        <v>0</v>
      </c>
      <c r="AN66" s="33">
        <v>4918</v>
      </c>
      <c r="AO66" s="33">
        <v>5081</v>
      </c>
      <c r="AP66" s="35">
        <v>15</v>
      </c>
    </row>
    <row r="67" spans="1:42">
      <c r="A67" s="5">
        <v>7</v>
      </c>
      <c r="B67" s="22" t="s">
        <v>262</v>
      </c>
      <c r="C67" s="17"/>
      <c r="D67" s="22" t="s">
        <v>180</v>
      </c>
      <c r="E67" s="22" t="s">
        <v>518</v>
      </c>
      <c r="F67" s="33">
        <v>373781</v>
      </c>
      <c r="G67" s="33">
        <v>5574</v>
      </c>
      <c r="H67" s="33">
        <v>73739</v>
      </c>
      <c r="I67" s="33">
        <v>43618</v>
      </c>
      <c r="J67" s="33">
        <v>255916</v>
      </c>
      <c r="K67" s="33">
        <v>412113</v>
      </c>
      <c r="L67" s="28">
        <v>2.59</v>
      </c>
      <c r="M67" s="31">
        <f>37250/412113</f>
        <v>9.0387830522211138E-2</v>
      </c>
      <c r="N67" s="33">
        <v>37250</v>
      </c>
      <c r="O67" s="33">
        <v>8438</v>
      </c>
      <c r="P67" s="33">
        <v>0</v>
      </c>
      <c r="Q67" s="33">
        <v>64939</v>
      </c>
      <c r="R67" s="33">
        <v>5195</v>
      </c>
      <c r="S67" s="33">
        <v>6317</v>
      </c>
      <c r="T67" s="33">
        <f>1200+3786</f>
        <v>4986</v>
      </c>
      <c r="U67" s="33">
        <v>0</v>
      </c>
      <c r="V67" s="33">
        <v>0</v>
      </c>
      <c r="W67" s="33">
        <v>0</v>
      </c>
      <c r="X67" s="33">
        <v>0</v>
      </c>
      <c r="Y67" s="33">
        <f>416+1927+3024</f>
        <v>5367</v>
      </c>
      <c r="Z67" s="33">
        <v>0</v>
      </c>
      <c r="AA67" s="33">
        <f>264+94</f>
        <v>358</v>
      </c>
      <c r="AB67" s="33">
        <v>409</v>
      </c>
      <c r="AC67" s="33">
        <v>0</v>
      </c>
      <c r="AD67" s="33">
        <v>0</v>
      </c>
      <c r="AE67" s="33">
        <v>100184</v>
      </c>
      <c r="AF67" s="22"/>
      <c r="AG67" s="33">
        <v>0</v>
      </c>
      <c r="AH67" s="33">
        <v>0</v>
      </c>
      <c r="AI67" s="33">
        <v>0</v>
      </c>
      <c r="AJ67" s="33">
        <v>2643</v>
      </c>
      <c r="AK67" s="33">
        <v>0</v>
      </c>
      <c r="AL67" s="33">
        <v>0</v>
      </c>
      <c r="AM67" s="33">
        <v>78536</v>
      </c>
      <c r="AN67" s="33">
        <v>39</v>
      </c>
      <c r="AO67" s="33">
        <v>210</v>
      </c>
      <c r="AP67" s="35">
        <v>39</v>
      </c>
    </row>
    <row r="68" spans="1:42">
      <c r="A68" s="5">
        <v>7</v>
      </c>
      <c r="B68" s="22" t="s">
        <v>359</v>
      </c>
      <c r="C68" s="17" t="s">
        <v>189</v>
      </c>
      <c r="D68" s="22" t="s">
        <v>328</v>
      </c>
      <c r="E68" s="22" t="s">
        <v>518</v>
      </c>
      <c r="F68" s="33">
        <v>742668</v>
      </c>
      <c r="G68" s="33">
        <v>6693</v>
      </c>
      <c r="H68" s="33">
        <v>283077</v>
      </c>
      <c r="I68" s="33">
        <v>131484</v>
      </c>
      <c r="J68" s="33">
        <v>228455</v>
      </c>
      <c r="K68" s="33">
        <v>728988</v>
      </c>
      <c r="L68" s="28">
        <v>0.34</v>
      </c>
      <c r="M68" s="31">
        <f>72735/727344</f>
        <v>0.10000082491915792</v>
      </c>
      <c r="N68" s="33">
        <v>72735</v>
      </c>
      <c r="O68" s="33">
        <v>2586</v>
      </c>
      <c r="P68" s="33">
        <v>0</v>
      </c>
      <c r="Q68" s="33">
        <v>22500</v>
      </c>
      <c r="R68" s="33">
        <v>0</v>
      </c>
      <c r="S68" s="33">
        <v>0</v>
      </c>
      <c r="T68" s="33">
        <f>3354+0</f>
        <v>3354</v>
      </c>
      <c r="U68" s="33">
        <v>0</v>
      </c>
      <c r="V68" s="33">
        <v>4804</v>
      </c>
      <c r="W68" s="33">
        <v>0</v>
      </c>
      <c r="X68" s="33">
        <v>95</v>
      </c>
      <c r="Y68" s="33">
        <f>1515+1745+462</f>
        <v>3722</v>
      </c>
      <c r="Z68" s="33">
        <v>0</v>
      </c>
      <c r="AA68" s="33">
        <v>0</v>
      </c>
      <c r="AB68" s="33">
        <v>3685</v>
      </c>
      <c r="AC68" s="33">
        <v>0</v>
      </c>
      <c r="AD68" s="33">
        <v>31760</v>
      </c>
      <c r="AE68" s="33">
        <v>40217</v>
      </c>
      <c r="AF68" s="31">
        <f t="shared" ref="AF68:AF111" si="7">IF(AE68=0,0,AD68/AE68)</f>
        <v>0.78971579182932594</v>
      </c>
      <c r="AG68" s="33">
        <v>35419</v>
      </c>
      <c r="AH68" s="33">
        <v>35419</v>
      </c>
      <c r="AI68" s="33">
        <v>0</v>
      </c>
      <c r="AJ68" s="33">
        <v>2586</v>
      </c>
      <c r="AK68" s="33">
        <v>0</v>
      </c>
      <c r="AL68" s="33">
        <v>0</v>
      </c>
      <c r="AM68" s="33">
        <v>0</v>
      </c>
      <c r="AN68" s="33">
        <v>98</v>
      </c>
      <c r="AO68" s="33">
        <v>105</v>
      </c>
      <c r="AP68" s="35">
        <v>2</v>
      </c>
    </row>
    <row r="69" spans="1:42">
      <c r="A69" s="5">
        <v>7</v>
      </c>
      <c r="B69" s="22" t="s">
        <v>371</v>
      </c>
      <c r="C69" s="17" t="s">
        <v>309</v>
      </c>
      <c r="D69" s="22" t="s">
        <v>446</v>
      </c>
      <c r="E69" s="22" t="s">
        <v>518</v>
      </c>
      <c r="F69" s="33">
        <v>24542875</v>
      </c>
      <c r="G69" s="33">
        <v>1290120</v>
      </c>
      <c r="H69" s="33">
        <v>12382816</v>
      </c>
      <c r="I69" s="33">
        <v>1529827</v>
      </c>
      <c r="J69" s="33">
        <v>5616443</v>
      </c>
      <c r="K69" s="33">
        <v>23129227</v>
      </c>
      <c r="L69" s="28">
        <v>0.48</v>
      </c>
      <c r="M69" s="31">
        <f>1590051/23020245</f>
        <v>6.9071853926837012E-2</v>
      </c>
      <c r="N69" s="33">
        <v>1591134</v>
      </c>
      <c r="O69" s="33">
        <v>268703</v>
      </c>
      <c r="P69" s="33">
        <v>0</v>
      </c>
      <c r="Q69" s="33">
        <v>776375</v>
      </c>
      <c r="R69" s="33">
        <v>61322</v>
      </c>
      <c r="S69" s="33">
        <v>153001</v>
      </c>
      <c r="T69" s="33">
        <f>189540+762</f>
        <v>190302</v>
      </c>
      <c r="U69" s="33">
        <v>0</v>
      </c>
      <c r="V69" s="33">
        <v>19992</v>
      </c>
      <c r="W69" s="33">
        <v>11000</v>
      </c>
      <c r="X69" s="33">
        <v>18461</v>
      </c>
      <c r="Y69" s="33">
        <f>23035+97553+65868</f>
        <v>186456</v>
      </c>
      <c r="Z69" s="33">
        <v>14105</v>
      </c>
      <c r="AA69" s="33">
        <v>3883</v>
      </c>
      <c r="AB69" s="33">
        <v>0</v>
      </c>
      <c r="AC69" s="33">
        <v>18028</v>
      </c>
      <c r="AD69" s="33">
        <v>0</v>
      </c>
      <c r="AE69" s="33">
        <v>1597189</v>
      </c>
      <c r="AF69" s="31">
        <f t="shared" si="7"/>
        <v>0</v>
      </c>
      <c r="AG69" s="33">
        <v>122177</v>
      </c>
      <c r="AH69" s="33">
        <v>122177</v>
      </c>
      <c r="AI69" s="33">
        <v>0</v>
      </c>
      <c r="AJ69" s="33">
        <v>267191</v>
      </c>
      <c r="AK69" s="33">
        <v>0</v>
      </c>
      <c r="AL69" s="33">
        <v>0</v>
      </c>
      <c r="AM69" s="33">
        <v>0</v>
      </c>
      <c r="AN69" s="33">
        <v>5386</v>
      </c>
      <c r="AO69" s="33">
        <v>5341</v>
      </c>
      <c r="AP69" s="35">
        <v>19</v>
      </c>
    </row>
    <row r="70" spans="1:42">
      <c r="A70" s="5">
        <v>7</v>
      </c>
      <c r="B70" s="22" t="s">
        <v>364</v>
      </c>
      <c r="C70" s="17" t="s">
        <v>127</v>
      </c>
      <c r="D70" s="22" t="s">
        <v>274</v>
      </c>
      <c r="E70" s="22" t="s">
        <v>518</v>
      </c>
      <c r="F70" s="33">
        <v>14473054</v>
      </c>
      <c r="G70" s="33">
        <v>253531</v>
      </c>
      <c r="H70" s="33">
        <v>7091215</v>
      </c>
      <c r="I70" s="33">
        <v>2374634</v>
      </c>
      <c r="J70" s="33">
        <v>1748534</v>
      </c>
      <c r="K70" s="33">
        <v>13721417</v>
      </c>
      <c r="L70" s="28">
        <v>1.31</v>
      </c>
      <c r="M70" s="31">
        <f>1097713/13721417</f>
        <v>7.9999973763642637E-2</v>
      </c>
      <c r="N70" s="33">
        <v>1078370</v>
      </c>
      <c r="O70" s="33">
        <v>129604</v>
      </c>
      <c r="P70" s="33">
        <v>0</v>
      </c>
      <c r="Q70" s="33">
        <v>352864</v>
      </c>
      <c r="R70" s="33">
        <v>23586</v>
      </c>
      <c r="S70" s="33">
        <v>88526</v>
      </c>
      <c r="T70" s="33">
        <v>80601</v>
      </c>
      <c r="U70" s="33">
        <v>30570</v>
      </c>
      <c r="V70" s="33">
        <v>149818</v>
      </c>
      <c r="W70" s="33">
        <v>7500</v>
      </c>
      <c r="X70" s="33">
        <v>46934</v>
      </c>
      <c r="Y70" s="33">
        <f>9141+72314+36128</f>
        <v>117583</v>
      </c>
      <c r="Z70" s="33">
        <v>4700</v>
      </c>
      <c r="AA70" s="33">
        <v>2687</v>
      </c>
      <c r="AB70" s="33">
        <v>0</v>
      </c>
      <c r="AC70" s="33">
        <v>22842</v>
      </c>
      <c r="AD70" s="33">
        <v>0</v>
      </c>
      <c r="AE70" s="33">
        <v>1003232</v>
      </c>
      <c r="AF70" s="31">
        <f t="shared" si="7"/>
        <v>0</v>
      </c>
      <c r="AG70" s="33">
        <v>122640</v>
      </c>
      <c r="AH70" s="33">
        <v>122177</v>
      </c>
      <c r="AI70" s="33">
        <v>463</v>
      </c>
      <c r="AJ70" s="33">
        <v>148615</v>
      </c>
      <c r="AK70" s="33">
        <v>0</v>
      </c>
      <c r="AL70" s="33">
        <v>0</v>
      </c>
      <c r="AM70" s="33">
        <v>0</v>
      </c>
      <c r="AN70" s="33">
        <v>4185</v>
      </c>
      <c r="AO70" s="33">
        <v>4111</v>
      </c>
      <c r="AP70" s="35">
        <v>114</v>
      </c>
    </row>
    <row r="71" spans="1:42">
      <c r="A71" s="5">
        <v>8</v>
      </c>
      <c r="B71" s="22" t="s">
        <v>154</v>
      </c>
      <c r="C71" s="17" t="s">
        <v>192</v>
      </c>
      <c r="D71" s="22" t="s">
        <v>319</v>
      </c>
      <c r="E71" s="22" t="s">
        <v>507</v>
      </c>
      <c r="F71" s="33">
        <v>45623426</v>
      </c>
      <c r="G71" s="33">
        <v>1030795</v>
      </c>
      <c r="H71" s="33">
        <v>14179542</v>
      </c>
      <c r="I71" s="33">
        <v>19544871</v>
      </c>
      <c r="J71" s="33">
        <v>5530390</v>
      </c>
      <c r="K71" s="33">
        <v>44525952</v>
      </c>
      <c r="L71" s="28">
        <v>1.05</v>
      </c>
      <c r="M71" s="31">
        <f>1323146/27855706</f>
        <v>4.7499998743524938E-2</v>
      </c>
      <c r="N71" s="33">
        <v>1324079</v>
      </c>
      <c r="O71" s="33">
        <v>140594</v>
      </c>
      <c r="P71" s="33">
        <v>0</v>
      </c>
      <c r="Q71" s="33">
        <v>534283</v>
      </c>
      <c r="R71" s="33">
        <v>45460</v>
      </c>
      <c r="S71" s="33">
        <v>171074</v>
      </c>
      <c r="T71" s="33">
        <v>145958</v>
      </c>
      <c r="U71" s="33">
        <v>0</v>
      </c>
      <c r="V71" s="33">
        <v>22962</v>
      </c>
      <c r="W71" s="33">
        <v>13200</v>
      </c>
      <c r="X71" s="33">
        <v>0</v>
      </c>
      <c r="Y71" s="33">
        <f>12210+66193+52904</f>
        <v>131307</v>
      </c>
      <c r="Z71" s="33">
        <v>17379</v>
      </c>
      <c r="AA71" s="33">
        <f>813+254+8</f>
        <v>1075</v>
      </c>
      <c r="AB71" s="33">
        <v>0</v>
      </c>
      <c r="AC71" s="33">
        <v>67455</v>
      </c>
      <c r="AD71" s="33">
        <v>51533</v>
      </c>
      <c r="AE71" s="33">
        <v>1218437</v>
      </c>
      <c r="AF71" s="31">
        <f t="shared" si="7"/>
        <v>4.2294349235947368E-2</v>
      </c>
      <c r="AG71" s="33">
        <v>122177</v>
      </c>
      <c r="AH71" s="33">
        <v>122177</v>
      </c>
      <c r="AI71" s="33">
        <v>0</v>
      </c>
      <c r="AJ71" s="33">
        <v>199152</v>
      </c>
      <c r="AK71" s="33">
        <v>0</v>
      </c>
      <c r="AL71" s="33">
        <v>0</v>
      </c>
      <c r="AM71" s="33">
        <v>0</v>
      </c>
      <c r="AN71" s="33">
        <v>10548</v>
      </c>
      <c r="AO71" s="33">
        <v>10398</v>
      </c>
      <c r="AP71" s="35">
        <v>196</v>
      </c>
    </row>
    <row r="72" spans="1:42">
      <c r="A72" s="5">
        <v>8</v>
      </c>
      <c r="B72" s="22" t="s">
        <v>202</v>
      </c>
      <c r="C72" s="17" t="s">
        <v>543</v>
      </c>
      <c r="D72" s="22" t="s">
        <v>241</v>
      </c>
      <c r="E72" s="22" t="s">
        <v>507</v>
      </c>
      <c r="F72" s="33">
        <v>17457253</v>
      </c>
      <c r="G72" s="33">
        <v>333694</v>
      </c>
      <c r="H72" s="33">
        <v>7342011</v>
      </c>
      <c r="I72" s="33">
        <v>5557872</v>
      </c>
      <c r="J72" s="33">
        <v>1836657</v>
      </c>
      <c r="K72" s="33">
        <v>17135215</v>
      </c>
      <c r="L72" s="28">
        <v>1.21</v>
      </c>
      <c r="M72" s="31">
        <f>692949/12051279</f>
        <v>5.7500037962775571E-2</v>
      </c>
      <c r="N72" s="33">
        <v>693769</v>
      </c>
      <c r="O72" s="33">
        <v>176077</v>
      </c>
      <c r="P72" s="33">
        <v>0</v>
      </c>
      <c r="Q72" s="33">
        <v>298014</v>
      </c>
      <c r="R72" s="33">
        <v>73744</v>
      </c>
      <c r="S72" s="33">
        <v>135903</v>
      </c>
      <c r="T72" s="33">
        <f>48000+11080</f>
        <v>59080</v>
      </c>
      <c r="U72" s="33">
        <v>0</v>
      </c>
      <c r="V72" s="33">
        <v>17023</v>
      </c>
      <c r="W72" s="33">
        <v>11000</v>
      </c>
      <c r="X72" s="33">
        <v>0</v>
      </c>
      <c r="Y72" s="33">
        <f>16035+37891+27714</f>
        <v>81640</v>
      </c>
      <c r="Z72" s="33">
        <v>8725</v>
      </c>
      <c r="AA72" s="33">
        <f>112+16</f>
        <v>128</v>
      </c>
      <c r="AB72" s="33">
        <v>6686</v>
      </c>
      <c r="AC72" s="33">
        <v>35886</v>
      </c>
      <c r="AD72" s="33">
        <v>23455</v>
      </c>
      <c r="AE72" s="33">
        <v>778863</v>
      </c>
      <c r="AF72" s="31">
        <f t="shared" si="7"/>
        <v>3.0114410364852354E-2</v>
      </c>
      <c r="AG72" s="33">
        <v>122177</v>
      </c>
      <c r="AH72" s="33">
        <v>122177</v>
      </c>
      <c r="AI72" s="33">
        <v>0</v>
      </c>
      <c r="AJ72" s="33">
        <v>32212</v>
      </c>
      <c r="AK72" s="33">
        <v>0</v>
      </c>
      <c r="AL72" s="33">
        <v>0</v>
      </c>
      <c r="AM72" s="33">
        <v>0</v>
      </c>
      <c r="AN72" s="33">
        <v>4968</v>
      </c>
      <c r="AO72" s="33">
        <v>4844</v>
      </c>
      <c r="AP72" s="35">
        <v>32</v>
      </c>
    </row>
    <row r="73" spans="1:42">
      <c r="A73" s="5">
        <v>8</v>
      </c>
      <c r="B73" s="22" t="s">
        <v>222</v>
      </c>
      <c r="C73" s="17" t="s">
        <v>218</v>
      </c>
      <c r="D73" s="22" t="s">
        <v>348</v>
      </c>
      <c r="E73" s="22" t="s">
        <v>507</v>
      </c>
      <c r="F73" s="33">
        <v>38846391</v>
      </c>
      <c r="G73" s="33">
        <v>1055828</v>
      </c>
      <c r="H73" s="33">
        <v>24466000</v>
      </c>
      <c r="I73" s="33">
        <v>2279961</v>
      </c>
      <c r="J73" s="33">
        <v>8384752</v>
      </c>
      <c r="K73" s="33">
        <v>37867549</v>
      </c>
      <c r="L73" s="28">
        <v>0.14000000000000001</v>
      </c>
      <c r="M73" s="31">
        <f>920629/26263014</f>
        <v>3.5054202080538055E-2</v>
      </c>
      <c r="N73" s="33">
        <v>913718</v>
      </c>
      <c r="O73" s="33">
        <v>294568</v>
      </c>
      <c r="P73" s="33">
        <v>0</v>
      </c>
      <c r="Q73" s="33">
        <v>579387</v>
      </c>
      <c r="R73" s="33">
        <v>43217</v>
      </c>
      <c r="S73" s="33">
        <v>120194</v>
      </c>
      <c r="T73" s="33">
        <v>97636</v>
      </c>
      <c r="U73" s="33">
        <v>0</v>
      </c>
      <c r="V73" s="33">
        <v>16606</v>
      </c>
      <c r="W73" s="33">
        <v>11900</v>
      </c>
      <c r="X73" s="33">
        <v>5982</v>
      </c>
      <c r="Y73" s="33">
        <f>15228+43177+23565</f>
        <v>81970</v>
      </c>
      <c r="Z73" s="33">
        <v>8966</v>
      </c>
      <c r="AA73" s="33">
        <v>877</v>
      </c>
      <c r="AB73" s="33">
        <v>3721</v>
      </c>
      <c r="AC73" s="33">
        <v>20560</v>
      </c>
      <c r="AD73" s="33">
        <v>12578</v>
      </c>
      <c r="AE73" s="33">
        <v>1042876</v>
      </c>
      <c r="AF73" s="31">
        <f t="shared" si="7"/>
        <v>1.2060877803305475E-2</v>
      </c>
      <c r="AG73" s="33">
        <v>122032</v>
      </c>
      <c r="AH73" s="33">
        <v>122177</v>
      </c>
      <c r="AI73" s="33">
        <v>0</v>
      </c>
      <c r="AJ73" s="33">
        <v>112503</v>
      </c>
      <c r="AK73" s="33">
        <v>0</v>
      </c>
      <c r="AL73" s="33">
        <v>0</v>
      </c>
      <c r="AM73" s="33">
        <v>0</v>
      </c>
      <c r="AN73" s="33">
        <v>6637</v>
      </c>
      <c r="AO73" s="33">
        <v>7281</v>
      </c>
      <c r="AP73" s="35">
        <v>42</v>
      </c>
    </row>
    <row r="74" spans="1:42">
      <c r="A74" s="5">
        <v>8</v>
      </c>
      <c r="B74" s="22" t="s">
        <v>258</v>
      </c>
      <c r="C74" s="17" t="s">
        <v>203</v>
      </c>
      <c r="D74" s="22" t="s">
        <v>263</v>
      </c>
      <c r="E74" s="22" t="s">
        <v>507</v>
      </c>
      <c r="F74" s="33">
        <v>21439193</v>
      </c>
      <c r="G74" s="33">
        <v>414542</v>
      </c>
      <c r="H74" s="33">
        <v>12323497</v>
      </c>
      <c r="I74" s="33">
        <v>508527</v>
      </c>
      <c r="J74" s="33">
        <v>5306780</v>
      </c>
      <c r="K74" s="33">
        <v>19923604</v>
      </c>
      <c r="L74" s="28">
        <v>0.6</v>
      </c>
      <c r="M74" s="31">
        <f>557248/14859953</f>
        <v>3.7499984017446086E-2</v>
      </c>
      <c r="N74" s="33">
        <v>557211</v>
      </c>
      <c r="O74" s="33">
        <v>258955</v>
      </c>
      <c r="P74" s="33">
        <v>0</v>
      </c>
      <c r="Q74" s="33">
        <v>220216</v>
      </c>
      <c r="R74" s="33">
        <v>21401</v>
      </c>
      <c r="S74" s="33">
        <v>29574</v>
      </c>
      <c r="T74" s="33">
        <v>56943</v>
      </c>
      <c r="U74" s="33">
        <v>0</v>
      </c>
      <c r="V74" s="33">
        <v>211550</v>
      </c>
      <c r="W74" s="33">
        <v>2675</v>
      </c>
      <c r="X74" s="33">
        <v>0</v>
      </c>
      <c r="Y74" s="33">
        <f>13239+32470+14846</f>
        <v>60555</v>
      </c>
      <c r="Z74" s="33">
        <v>6473</v>
      </c>
      <c r="AA74" s="33">
        <v>1624</v>
      </c>
      <c r="AB74" s="33">
        <v>0</v>
      </c>
      <c r="AC74" s="33">
        <v>14791</v>
      </c>
      <c r="AD74" s="33">
        <v>0</v>
      </c>
      <c r="AE74" s="33">
        <v>649267</v>
      </c>
      <c r="AF74" s="31">
        <f t="shared" si="7"/>
        <v>0</v>
      </c>
      <c r="AG74" s="33">
        <v>104682</v>
      </c>
      <c r="AH74" s="33">
        <v>104682</v>
      </c>
      <c r="AI74" s="33">
        <v>0</v>
      </c>
      <c r="AJ74" s="33">
        <v>108708</v>
      </c>
      <c r="AK74" s="33">
        <v>0</v>
      </c>
      <c r="AL74" s="33">
        <v>0</v>
      </c>
      <c r="AM74" s="33">
        <v>0</v>
      </c>
      <c r="AN74" s="33">
        <v>5178</v>
      </c>
      <c r="AO74" s="33" t="s">
        <v>345</v>
      </c>
      <c r="AP74" s="35">
        <v>12</v>
      </c>
    </row>
    <row r="75" spans="1:42">
      <c r="A75" s="5">
        <v>8</v>
      </c>
      <c r="B75" s="22" t="s">
        <v>280</v>
      </c>
      <c r="C75" s="17" t="s">
        <v>543</v>
      </c>
      <c r="D75" s="22" t="s">
        <v>294</v>
      </c>
      <c r="E75" s="22" t="s">
        <v>267</v>
      </c>
      <c r="F75" s="33">
        <v>12831526</v>
      </c>
      <c r="G75" s="33">
        <v>219290</v>
      </c>
      <c r="H75" s="33">
        <v>5373596</v>
      </c>
      <c r="I75" s="33">
        <v>733025</v>
      </c>
      <c r="J75" s="33">
        <v>4783221</v>
      </c>
      <c r="K75" s="33">
        <v>12469784</v>
      </c>
      <c r="L75" s="28">
        <v>1.61</v>
      </c>
      <c r="M75" s="31">
        <f>399033/12469784</f>
        <v>3.1999992942941112E-2</v>
      </c>
      <c r="N75" s="33">
        <v>398270</v>
      </c>
      <c r="O75" s="33">
        <v>80473</v>
      </c>
      <c r="P75" s="33">
        <v>0</v>
      </c>
      <c r="Q75" s="33">
        <v>164883</v>
      </c>
      <c r="R75" s="33">
        <v>17981</v>
      </c>
      <c r="S75" s="33">
        <v>46001</v>
      </c>
      <c r="T75" s="33">
        <v>39243</v>
      </c>
      <c r="U75" s="33">
        <v>9100</v>
      </c>
      <c r="V75" s="33">
        <v>22185</v>
      </c>
      <c r="W75" s="33">
        <v>9800</v>
      </c>
      <c r="X75" s="33">
        <v>0</v>
      </c>
      <c r="Y75" s="33">
        <f>6991+17045+5530</f>
        <v>29566</v>
      </c>
      <c r="Z75" s="33">
        <v>5479</v>
      </c>
      <c r="AA75" s="33">
        <v>3334</v>
      </c>
      <c r="AB75" s="33">
        <v>668</v>
      </c>
      <c r="AC75" s="33">
        <v>196</v>
      </c>
      <c r="AD75" s="33">
        <v>627</v>
      </c>
      <c r="AE75" s="33">
        <v>370529</v>
      </c>
      <c r="AF75" s="31">
        <f t="shared" si="7"/>
        <v>1.6921752413441324E-3</v>
      </c>
      <c r="AG75" s="33">
        <v>122177</v>
      </c>
      <c r="AH75" s="33">
        <v>122177</v>
      </c>
      <c r="AI75" s="33">
        <v>0</v>
      </c>
      <c r="AJ75" s="33">
        <v>29732</v>
      </c>
      <c r="AK75" s="33">
        <v>0</v>
      </c>
      <c r="AL75" s="33">
        <v>0</v>
      </c>
      <c r="AM75" s="33">
        <v>0</v>
      </c>
      <c r="AN75" s="33">
        <v>4091</v>
      </c>
      <c r="AO75" s="33">
        <v>4138</v>
      </c>
      <c r="AP75" s="35">
        <v>40</v>
      </c>
    </row>
    <row r="76" spans="1:42">
      <c r="A76" s="5">
        <v>8</v>
      </c>
      <c r="B76" s="22" t="s">
        <v>459</v>
      </c>
      <c r="C76" s="17" t="s">
        <v>494</v>
      </c>
      <c r="D76" s="22" t="s">
        <v>348</v>
      </c>
      <c r="E76" s="22" t="s">
        <v>507</v>
      </c>
      <c r="F76" s="33">
        <v>38400250</v>
      </c>
      <c r="G76" s="33">
        <v>1214062</v>
      </c>
      <c r="H76" s="33">
        <v>23804109</v>
      </c>
      <c r="I76" s="33">
        <v>2217738</v>
      </c>
      <c r="J76" s="33">
        <v>8454611</v>
      </c>
      <c r="K76" s="33">
        <v>37171413</v>
      </c>
      <c r="L76" s="28">
        <v>0.14000000000000001</v>
      </c>
      <c r="M76" s="31">
        <f>865854/25936251</f>
        <v>3.3383930468593941E-2</v>
      </c>
      <c r="N76" s="33">
        <v>858601</v>
      </c>
      <c r="O76" s="33">
        <v>350378</v>
      </c>
      <c r="P76" s="33">
        <v>0</v>
      </c>
      <c r="Q76" s="33">
        <v>579387</v>
      </c>
      <c r="R76" s="33">
        <v>43217</v>
      </c>
      <c r="S76" s="33">
        <v>120194</v>
      </c>
      <c r="T76" s="33">
        <v>97636</v>
      </c>
      <c r="U76" s="33">
        <v>0</v>
      </c>
      <c r="V76" s="33">
        <v>16606</v>
      </c>
      <c r="W76" s="33">
        <v>11900</v>
      </c>
      <c r="X76" s="33">
        <v>5982</v>
      </c>
      <c r="Y76" s="33">
        <f>15228+43177+23565</f>
        <v>81970</v>
      </c>
      <c r="Z76" s="33">
        <v>8966</v>
      </c>
      <c r="AA76" s="33">
        <v>877</v>
      </c>
      <c r="AB76" s="33">
        <v>3721</v>
      </c>
      <c r="AC76" s="33">
        <v>20560</v>
      </c>
      <c r="AD76" s="33">
        <v>12747</v>
      </c>
      <c r="AE76" s="33">
        <v>1042876</v>
      </c>
      <c r="AF76" s="31">
        <f t="shared" si="7"/>
        <v>1.2222929667573134E-2</v>
      </c>
      <c r="AG76" s="33">
        <v>122032</v>
      </c>
      <c r="AH76" s="33">
        <v>122177</v>
      </c>
      <c r="AI76" s="33">
        <v>0</v>
      </c>
      <c r="AJ76" s="33">
        <v>111000</v>
      </c>
      <c r="AK76" s="33">
        <v>0</v>
      </c>
      <c r="AL76" s="33">
        <v>0</v>
      </c>
      <c r="AM76" s="33">
        <v>0</v>
      </c>
      <c r="AN76" s="33">
        <v>6632</v>
      </c>
      <c r="AO76" s="33">
        <v>7212</v>
      </c>
      <c r="AP76" s="35">
        <v>41</v>
      </c>
    </row>
    <row r="77" spans="1:42">
      <c r="A77" s="5">
        <v>8</v>
      </c>
      <c r="B77" s="22" t="s">
        <v>486</v>
      </c>
      <c r="C77" s="17" t="s">
        <v>192</v>
      </c>
      <c r="D77" s="22" t="s">
        <v>319</v>
      </c>
      <c r="E77" s="22" t="s">
        <v>507</v>
      </c>
      <c r="F77" s="33">
        <v>44806760</v>
      </c>
      <c r="G77" s="33">
        <v>1030357</v>
      </c>
      <c r="H77" s="33">
        <v>14027420</v>
      </c>
      <c r="I77" s="33">
        <v>19284807</v>
      </c>
      <c r="J77" s="33">
        <v>5269391</v>
      </c>
      <c r="K77" s="33">
        <v>43747076</v>
      </c>
      <c r="L77" s="28">
        <v>1.03</v>
      </c>
      <c r="M77" s="31">
        <f>1297980/27325903</f>
        <v>4.7499985636339261E-2</v>
      </c>
      <c r="N77" s="33">
        <v>1298297</v>
      </c>
      <c r="O77" s="33">
        <v>126099</v>
      </c>
      <c r="P77" s="33">
        <v>0</v>
      </c>
      <c r="Q77" s="33">
        <v>534283</v>
      </c>
      <c r="R77" s="33">
        <v>45460</v>
      </c>
      <c r="S77" s="33">
        <v>171074</v>
      </c>
      <c r="T77" s="33">
        <v>145958</v>
      </c>
      <c r="U77" s="33">
        <v>0</v>
      </c>
      <c r="V77" s="33">
        <v>22962</v>
      </c>
      <c r="W77" s="33">
        <v>13200</v>
      </c>
      <c r="X77" s="33">
        <v>0</v>
      </c>
      <c r="Y77" s="33">
        <f>12210+66193+52904</f>
        <v>131307</v>
      </c>
      <c r="Z77" s="33">
        <v>17379</v>
      </c>
      <c r="AA77" s="33">
        <f>813+254+8</f>
        <v>1075</v>
      </c>
      <c r="AB77" s="33">
        <v>0</v>
      </c>
      <c r="AC77" s="33">
        <v>54565</v>
      </c>
      <c r="AD77" s="33">
        <v>51533</v>
      </c>
      <c r="AE77" s="33">
        <v>1205547</v>
      </c>
      <c r="AF77" s="31">
        <f t="shared" si="7"/>
        <v>4.2746570643865396E-2</v>
      </c>
      <c r="AG77" s="33">
        <v>122177</v>
      </c>
      <c r="AH77" s="33">
        <v>122177</v>
      </c>
      <c r="AI77" s="33">
        <v>0</v>
      </c>
      <c r="AJ77" s="33">
        <v>173419</v>
      </c>
      <c r="AK77" s="33">
        <v>0</v>
      </c>
      <c r="AL77" s="33">
        <v>0</v>
      </c>
      <c r="AM77" s="33">
        <v>0</v>
      </c>
      <c r="AN77" s="33">
        <v>10622</v>
      </c>
      <c r="AO77" s="33">
        <v>10490</v>
      </c>
      <c r="AP77" s="35">
        <v>192</v>
      </c>
    </row>
    <row r="78" spans="1:42">
      <c r="A78" s="5">
        <v>8</v>
      </c>
      <c r="B78" s="22" t="s">
        <v>487</v>
      </c>
      <c r="C78" s="17" t="s">
        <v>80</v>
      </c>
      <c r="D78" s="22" t="s">
        <v>97</v>
      </c>
      <c r="E78" s="22" t="s">
        <v>507</v>
      </c>
      <c r="F78" s="33">
        <v>44491575</v>
      </c>
      <c r="G78" s="33">
        <v>579603</v>
      </c>
      <c r="H78" s="33">
        <v>28958451</v>
      </c>
      <c r="I78" s="33">
        <v>1252498</v>
      </c>
      <c r="J78" s="33">
        <v>11616183</v>
      </c>
      <c r="K78" s="33">
        <v>43817524</v>
      </c>
      <c r="L78" s="28">
        <v>1.3</v>
      </c>
      <c r="M78" s="31">
        <f>1002584/33419467</f>
        <v>2.9999999700773206E-2</v>
      </c>
      <c r="N78" s="33">
        <v>1002584</v>
      </c>
      <c r="O78" s="33">
        <v>170107</v>
      </c>
      <c r="P78" s="33">
        <v>0</v>
      </c>
      <c r="Q78" s="33">
        <v>465064</v>
      </c>
      <c r="R78" s="33">
        <v>39977</v>
      </c>
      <c r="S78" s="33">
        <v>55271</v>
      </c>
      <c r="T78" s="33">
        <v>72057</v>
      </c>
      <c r="U78" s="33">
        <v>3623</v>
      </c>
      <c r="V78" s="33">
        <v>59138</v>
      </c>
      <c r="W78" s="33">
        <v>9400</v>
      </c>
      <c r="X78" s="33">
        <v>17688</v>
      </c>
      <c r="Y78" s="33">
        <f>37349+47295+130795</f>
        <v>215439</v>
      </c>
      <c r="Z78" s="33">
        <v>10728</v>
      </c>
      <c r="AA78" s="33">
        <v>2036</v>
      </c>
      <c r="AB78" s="33">
        <v>97818</v>
      </c>
      <c r="AC78" s="33">
        <v>1725</v>
      </c>
      <c r="AD78" s="33">
        <v>0</v>
      </c>
      <c r="AE78" s="33">
        <v>1097787</v>
      </c>
      <c r="AF78" s="31">
        <f t="shared" si="7"/>
        <v>0</v>
      </c>
      <c r="AG78" s="33">
        <v>122177</v>
      </c>
      <c r="AH78" s="33">
        <v>122177</v>
      </c>
      <c r="AI78" s="33">
        <v>0</v>
      </c>
      <c r="AJ78" s="33">
        <v>71467</v>
      </c>
      <c r="AK78" s="33">
        <v>0</v>
      </c>
      <c r="AL78" s="33">
        <v>0</v>
      </c>
      <c r="AM78" s="33">
        <v>0</v>
      </c>
      <c r="AN78" s="33">
        <v>9166</v>
      </c>
      <c r="AO78" s="33">
        <v>9643</v>
      </c>
      <c r="AP78" s="35">
        <v>297</v>
      </c>
    </row>
    <row r="79" spans="1:42">
      <c r="A79" s="5">
        <v>8</v>
      </c>
      <c r="B79" s="22" t="s">
        <v>537</v>
      </c>
      <c r="C79" s="17" t="s">
        <v>471</v>
      </c>
      <c r="D79" s="22" t="s">
        <v>285</v>
      </c>
      <c r="E79" s="22" t="s">
        <v>267</v>
      </c>
      <c r="F79" s="33">
        <v>9884075</v>
      </c>
      <c r="G79" s="33">
        <v>197076</v>
      </c>
      <c r="H79" s="33">
        <v>4600310</v>
      </c>
      <c r="I79" s="33">
        <v>636632</v>
      </c>
      <c r="J79" s="33">
        <v>3528268</v>
      </c>
      <c r="K79" s="33">
        <v>9645179</v>
      </c>
      <c r="L79" s="28">
        <v>0.48</v>
      </c>
      <c r="M79" s="31">
        <f>526508/9591545</f>
        <v>5.4892929137068114E-2</v>
      </c>
      <c r="N79" s="33">
        <v>524708</v>
      </c>
      <c r="O79" s="33">
        <v>174493</v>
      </c>
      <c r="P79" s="33">
        <v>0</v>
      </c>
      <c r="Q79" s="33">
        <v>296873</v>
      </c>
      <c r="R79" s="33">
        <v>24532</v>
      </c>
      <c r="S79" s="33">
        <v>73516</v>
      </c>
      <c r="T79" s="33">
        <v>44659</v>
      </c>
      <c r="U79" s="33">
        <v>4456</v>
      </c>
      <c r="V79" s="33">
        <v>17881</v>
      </c>
      <c r="W79" s="33">
        <v>10200</v>
      </c>
      <c r="X79" s="33">
        <v>0</v>
      </c>
      <c r="Y79" s="33">
        <f>9288+16020+16926</f>
        <v>42234</v>
      </c>
      <c r="Z79" s="33">
        <v>6604</v>
      </c>
      <c r="AA79" s="33">
        <f>4098+666+86</f>
        <v>4850</v>
      </c>
      <c r="AB79" s="33">
        <v>806</v>
      </c>
      <c r="AC79" s="33">
        <v>2476</v>
      </c>
      <c r="AD79" s="33">
        <v>0</v>
      </c>
      <c r="AE79" s="33">
        <v>550718</v>
      </c>
      <c r="AF79" s="31">
        <f t="shared" si="7"/>
        <v>0</v>
      </c>
      <c r="AG79" s="33">
        <v>122000</v>
      </c>
      <c r="AH79" s="33">
        <v>122000</v>
      </c>
      <c r="AI79" s="33">
        <v>0</v>
      </c>
      <c r="AJ79" s="33">
        <v>64051</v>
      </c>
      <c r="AK79" s="33">
        <v>0</v>
      </c>
      <c r="AL79" s="33">
        <v>0</v>
      </c>
      <c r="AM79" s="33">
        <v>0</v>
      </c>
      <c r="AN79" s="33">
        <v>3556</v>
      </c>
      <c r="AO79" s="33">
        <v>3522</v>
      </c>
      <c r="AP79" s="35">
        <v>275</v>
      </c>
    </row>
    <row r="80" spans="1:42">
      <c r="A80" s="5">
        <v>9</v>
      </c>
      <c r="B80" s="22" t="s">
        <v>51</v>
      </c>
      <c r="C80" s="17" t="s">
        <v>86</v>
      </c>
      <c r="D80" s="22" t="s">
        <v>173</v>
      </c>
      <c r="E80" s="22" t="s">
        <v>323</v>
      </c>
      <c r="F80" s="33">
        <v>10947049</v>
      </c>
      <c r="G80" s="33">
        <v>415695</v>
      </c>
      <c r="H80" s="33">
        <v>7130370</v>
      </c>
      <c r="I80" s="33">
        <v>353859</v>
      </c>
      <c r="J80" s="33">
        <v>1972586</v>
      </c>
      <c r="K80" s="33">
        <v>10405473</v>
      </c>
      <c r="L80" s="28">
        <v>0.53</v>
      </c>
      <c r="M80" s="31">
        <f>538546/10405473</f>
        <v>5.175603261860369E-2</v>
      </c>
      <c r="N80" s="33">
        <v>535782</v>
      </c>
      <c r="O80" s="33">
        <v>60808</v>
      </c>
      <c r="P80" s="33">
        <v>0</v>
      </c>
      <c r="Q80" s="33">
        <v>177175</v>
      </c>
      <c r="R80" s="33">
        <v>11928</v>
      </c>
      <c r="S80" s="33">
        <v>47877</v>
      </c>
      <c r="T80" s="33">
        <f>23064+7451</f>
        <v>30515</v>
      </c>
      <c r="U80" s="33">
        <v>5294</v>
      </c>
      <c r="V80" s="33">
        <v>14032</v>
      </c>
      <c r="W80" s="33">
        <v>9000</v>
      </c>
      <c r="X80" s="33">
        <v>238</v>
      </c>
      <c r="Y80" s="33">
        <f>4628+18707+24468</f>
        <v>47803</v>
      </c>
      <c r="Z80" s="33">
        <v>10137</v>
      </c>
      <c r="AA80" s="33">
        <v>188</v>
      </c>
      <c r="AB80" s="33">
        <v>0</v>
      </c>
      <c r="AC80" s="33">
        <v>18206</v>
      </c>
      <c r="AD80" s="33">
        <v>0</v>
      </c>
      <c r="AE80" s="33">
        <v>438125</v>
      </c>
      <c r="AF80" s="31">
        <f t="shared" si="7"/>
        <v>0</v>
      </c>
      <c r="AG80" s="33">
        <v>122177</v>
      </c>
      <c r="AH80" s="33">
        <v>122177</v>
      </c>
      <c r="AI80" s="33">
        <v>0</v>
      </c>
      <c r="AJ80" s="33">
        <v>64146</v>
      </c>
      <c r="AK80" s="33">
        <v>0</v>
      </c>
      <c r="AL80" s="33">
        <v>0</v>
      </c>
      <c r="AM80" s="33">
        <v>0</v>
      </c>
      <c r="AN80" s="33">
        <v>1536</v>
      </c>
      <c r="AO80" s="33">
        <v>1623</v>
      </c>
      <c r="AP80" s="35">
        <v>10</v>
      </c>
    </row>
    <row r="81" spans="1:42">
      <c r="A81" s="5">
        <v>9</v>
      </c>
      <c r="B81" s="22" t="s">
        <v>60</v>
      </c>
      <c r="C81" s="17" t="s">
        <v>249</v>
      </c>
      <c r="D81" s="22" t="s">
        <v>273</v>
      </c>
      <c r="E81" s="22" t="s">
        <v>323</v>
      </c>
      <c r="F81" s="33">
        <v>3811177</v>
      </c>
      <c r="G81" s="33">
        <v>92594</v>
      </c>
      <c r="H81" s="33">
        <v>2283836</v>
      </c>
      <c r="I81" s="33">
        <v>231445</v>
      </c>
      <c r="J81" s="33">
        <v>955355</v>
      </c>
      <c r="K81" s="33">
        <v>3796156</v>
      </c>
      <c r="L81" s="28">
        <v>1.28</v>
      </c>
      <c r="M81" s="31">
        <f>232811/3796156</f>
        <v>6.1328090837152106E-2</v>
      </c>
      <c r="N81" s="33">
        <v>232787</v>
      </c>
      <c r="O81" s="33">
        <v>7174</v>
      </c>
      <c r="P81" s="33">
        <v>0</v>
      </c>
      <c r="Q81" s="33">
        <v>46543</v>
      </c>
      <c r="R81" s="33">
        <v>4510</v>
      </c>
      <c r="S81" s="33">
        <v>4427</v>
      </c>
      <c r="T81" s="33">
        <v>12513</v>
      </c>
      <c r="U81" s="33">
        <v>5580</v>
      </c>
      <c r="V81" s="33">
        <v>3029</v>
      </c>
      <c r="W81" s="33">
        <v>7500</v>
      </c>
      <c r="X81" s="33">
        <v>0</v>
      </c>
      <c r="Y81" s="33">
        <f>1162+4451+3972</f>
        <v>9585</v>
      </c>
      <c r="Z81" s="33">
        <v>1736</v>
      </c>
      <c r="AA81" s="33">
        <v>877</v>
      </c>
      <c r="AB81" s="33">
        <v>463</v>
      </c>
      <c r="AC81" s="33">
        <v>3239</v>
      </c>
      <c r="AD81" s="33">
        <v>-2935</v>
      </c>
      <c r="AE81" s="33">
        <v>112470</v>
      </c>
      <c r="AF81" s="31">
        <f t="shared" si="7"/>
        <v>-2.6095847781630658E-2</v>
      </c>
      <c r="AG81" s="33">
        <v>122177</v>
      </c>
      <c r="AH81" s="33">
        <v>122177</v>
      </c>
      <c r="AI81" s="33">
        <v>0</v>
      </c>
      <c r="AJ81" s="33">
        <v>12860</v>
      </c>
      <c r="AK81" s="33">
        <v>0</v>
      </c>
      <c r="AL81" s="33">
        <v>0</v>
      </c>
      <c r="AM81" s="33">
        <v>0</v>
      </c>
      <c r="AN81" s="33">
        <v>472</v>
      </c>
      <c r="AO81" s="33">
        <v>521</v>
      </c>
      <c r="AP81" s="35">
        <v>7</v>
      </c>
    </row>
    <row r="82" spans="1:42">
      <c r="A82" s="5">
        <v>9</v>
      </c>
      <c r="B82" s="22" t="s">
        <v>78</v>
      </c>
      <c r="C82" s="17" t="s">
        <v>306</v>
      </c>
      <c r="D82" s="22" t="s">
        <v>102</v>
      </c>
      <c r="E82" s="22" t="s">
        <v>368</v>
      </c>
      <c r="F82" s="33">
        <v>11856637</v>
      </c>
      <c r="G82" s="33">
        <v>232088</v>
      </c>
      <c r="H82" s="33">
        <v>5443208</v>
      </c>
      <c r="I82" s="33">
        <v>147810</v>
      </c>
      <c r="J82" s="33">
        <v>4779498</v>
      </c>
      <c r="K82" s="33">
        <v>11485417</v>
      </c>
      <c r="L82" s="28">
        <v>0.55000000000000004</v>
      </c>
      <c r="M82" s="31">
        <f>631274/11477711</f>
        <v>5.4999990851834483E-2</v>
      </c>
      <c r="N82" s="33">
        <v>631295</v>
      </c>
      <c r="O82" s="33">
        <v>98946</v>
      </c>
      <c r="P82" s="33">
        <v>0</v>
      </c>
      <c r="Q82" s="33">
        <v>267638</v>
      </c>
      <c r="R82" s="33">
        <v>23074</v>
      </c>
      <c r="S82" s="33">
        <v>81235</v>
      </c>
      <c r="T82" s="33">
        <f>34650+5793</f>
        <v>40443</v>
      </c>
      <c r="U82" s="33">
        <v>1385</v>
      </c>
      <c r="V82" s="33">
        <v>18502</v>
      </c>
      <c r="W82" s="33">
        <v>11000</v>
      </c>
      <c r="X82" s="33">
        <v>0</v>
      </c>
      <c r="Y82" s="33">
        <f>8351+21376+14609</f>
        <v>44336</v>
      </c>
      <c r="Z82" s="33">
        <v>9776</v>
      </c>
      <c r="AA82" s="33">
        <v>0</v>
      </c>
      <c r="AB82" s="33">
        <v>3046</v>
      </c>
      <c r="AC82" s="33">
        <v>1627</v>
      </c>
      <c r="AD82" s="33">
        <v>0</v>
      </c>
      <c r="AE82" s="33">
        <v>529443</v>
      </c>
      <c r="AF82" s="31">
        <f t="shared" si="7"/>
        <v>0</v>
      </c>
      <c r="AG82" s="33">
        <v>122177</v>
      </c>
      <c r="AH82" s="33">
        <v>122177</v>
      </c>
      <c r="AI82" s="33">
        <v>0</v>
      </c>
      <c r="AJ82" s="33">
        <v>74353</v>
      </c>
      <c r="AK82" s="33">
        <v>0</v>
      </c>
      <c r="AL82" s="33">
        <v>0</v>
      </c>
      <c r="AM82" s="33">
        <v>0</v>
      </c>
      <c r="AN82" s="33">
        <v>3162</v>
      </c>
      <c r="AO82" s="33">
        <v>3197</v>
      </c>
      <c r="AP82" s="35">
        <v>7</v>
      </c>
    </row>
    <row r="83" spans="1:42">
      <c r="A83" s="5">
        <v>9</v>
      </c>
      <c r="B83" s="22" t="s">
        <v>101</v>
      </c>
      <c r="C83" s="17" t="s">
        <v>252</v>
      </c>
      <c r="D83" s="22" t="s">
        <v>253</v>
      </c>
      <c r="E83" s="22" t="s">
        <v>323</v>
      </c>
      <c r="F83" s="33">
        <v>7609263</v>
      </c>
      <c r="G83" s="33">
        <v>343070</v>
      </c>
      <c r="H83" s="33">
        <v>4278121</v>
      </c>
      <c r="I83" s="33">
        <v>519271</v>
      </c>
      <c r="J83" s="33">
        <v>1698722</v>
      </c>
      <c r="K83" s="33">
        <v>7253926</v>
      </c>
      <c r="L83" s="28">
        <v>1.45</v>
      </c>
      <c r="M83" s="31">
        <f>364113/7253926</f>
        <v>5.0195301137618442E-2</v>
      </c>
      <c r="N83" s="33">
        <v>362253</v>
      </c>
      <c r="O83" s="33">
        <v>82675</v>
      </c>
      <c r="P83" s="33">
        <v>0</v>
      </c>
      <c r="Q83" s="33">
        <v>150844</v>
      </c>
      <c r="R83" s="33">
        <v>14018</v>
      </c>
      <c r="S83" s="33">
        <v>23223</v>
      </c>
      <c r="T83" s="33">
        <f>22048+3401</f>
        <v>25449</v>
      </c>
      <c r="U83" s="33">
        <v>6550</v>
      </c>
      <c r="V83" s="33">
        <v>17390</v>
      </c>
      <c r="W83" s="33">
        <v>10500</v>
      </c>
      <c r="X83" s="33">
        <v>0</v>
      </c>
      <c r="Y83" s="33">
        <f>3480+8294+5473</f>
        <v>17247</v>
      </c>
      <c r="Z83" s="33">
        <v>6084</v>
      </c>
      <c r="AA83" s="33">
        <v>810</v>
      </c>
      <c r="AB83" s="33">
        <v>-205</v>
      </c>
      <c r="AC83" s="33">
        <v>10200</v>
      </c>
      <c r="AD83" s="33">
        <v>21970</v>
      </c>
      <c r="AE83" s="33">
        <v>304764</v>
      </c>
      <c r="AF83" s="31">
        <f t="shared" si="7"/>
        <v>7.2088566891102629E-2</v>
      </c>
      <c r="AG83" s="33">
        <v>122177</v>
      </c>
      <c r="AH83" s="33">
        <v>122177</v>
      </c>
      <c r="AI83" s="33">
        <v>0</v>
      </c>
      <c r="AJ83" s="33">
        <v>49940</v>
      </c>
      <c r="AK83" s="33">
        <v>0</v>
      </c>
      <c r="AL83" s="33">
        <v>0</v>
      </c>
      <c r="AM83" s="33">
        <v>0</v>
      </c>
      <c r="AN83" s="33">
        <v>1285</v>
      </c>
      <c r="AO83" s="33">
        <v>1306</v>
      </c>
      <c r="AP83" s="35">
        <v>13</v>
      </c>
    </row>
    <row r="84" spans="1:42">
      <c r="A84" s="5">
        <v>9</v>
      </c>
      <c r="B84" s="22" t="s">
        <v>140</v>
      </c>
      <c r="C84" s="17" t="s">
        <v>28</v>
      </c>
      <c r="D84" s="22" t="s">
        <v>510</v>
      </c>
      <c r="E84" s="22" t="s">
        <v>368</v>
      </c>
      <c r="F84" s="33">
        <v>4187656</v>
      </c>
      <c r="G84" s="33">
        <v>88205</v>
      </c>
      <c r="H84" s="33">
        <v>1522832</v>
      </c>
      <c r="I84" s="33">
        <v>560472</v>
      </c>
      <c r="J84" s="33">
        <v>1568228</v>
      </c>
      <c r="K84" s="33">
        <v>4108908</v>
      </c>
      <c r="L84" s="28">
        <v>1.3</v>
      </c>
      <c r="M84" s="31">
        <f>346837/4108908</f>
        <v>8.4410991922914805E-2</v>
      </c>
      <c r="N84" s="33">
        <v>346735</v>
      </c>
      <c r="O84" s="33">
        <v>55100</v>
      </c>
      <c r="P84" s="33">
        <v>0</v>
      </c>
      <c r="Q84" s="33">
        <v>105046</v>
      </c>
      <c r="R84" s="33">
        <v>9205</v>
      </c>
      <c r="S84" s="33">
        <v>20916</v>
      </c>
      <c r="T84" s="33">
        <f>17155+1403</f>
        <v>18558</v>
      </c>
      <c r="U84" s="33">
        <v>6738</v>
      </c>
      <c r="V84" s="33">
        <v>44962</v>
      </c>
      <c r="W84" s="33">
        <v>7500</v>
      </c>
      <c r="X84" s="33">
        <v>6650</v>
      </c>
      <c r="Y84" s="33">
        <f>6650+12046+2812</f>
        <v>21508</v>
      </c>
      <c r="Z84" s="33">
        <v>2468</v>
      </c>
      <c r="AA84" s="33">
        <v>0</v>
      </c>
      <c r="AB84" s="33">
        <v>805</v>
      </c>
      <c r="AC84" s="33">
        <v>2304</v>
      </c>
      <c r="AD84" s="33">
        <v>0</v>
      </c>
      <c r="AE84" s="33">
        <v>254951</v>
      </c>
      <c r="AF84" s="31">
        <f t="shared" si="7"/>
        <v>0</v>
      </c>
      <c r="AG84" s="33">
        <v>122177</v>
      </c>
      <c r="AH84" s="33">
        <v>122177</v>
      </c>
      <c r="AI84" s="33">
        <v>0</v>
      </c>
      <c r="AJ84" s="33">
        <v>29028</v>
      </c>
      <c r="AK84" s="33">
        <v>0</v>
      </c>
      <c r="AL84" s="33">
        <v>0</v>
      </c>
      <c r="AM84" s="33">
        <v>0</v>
      </c>
      <c r="AN84" s="33">
        <v>942</v>
      </c>
      <c r="AO84" s="33">
        <v>1020</v>
      </c>
      <c r="AP84" s="35">
        <v>5</v>
      </c>
    </row>
    <row r="85" spans="1:42">
      <c r="A85" s="5">
        <v>9</v>
      </c>
      <c r="B85" s="22" t="s">
        <v>187</v>
      </c>
      <c r="C85" s="17" t="s">
        <v>325</v>
      </c>
      <c r="D85" s="22" t="s">
        <v>553</v>
      </c>
      <c r="E85" s="22" t="s">
        <v>368</v>
      </c>
      <c r="F85" s="33">
        <v>4339950</v>
      </c>
      <c r="G85" s="33">
        <v>100447</v>
      </c>
      <c r="H85" s="33">
        <v>2119010</v>
      </c>
      <c r="I85" s="33">
        <v>356298</v>
      </c>
      <c r="J85" s="33">
        <v>1127540</v>
      </c>
      <c r="K85" s="33">
        <v>4252637</v>
      </c>
      <c r="L85" s="28">
        <v>0.5</v>
      </c>
      <c r="M85" s="31">
        <f>391385/4252637</f>
        <v>9.2033484165236767E-2</v>
      </c>
      <c r="N85" s="33">
        <v>391326</v>
      </c>
      <c r="O85" s="33">
        <v>64387</v>
      </c>
      <c r="P85" s="33">
        <v>0</v>
      </c>
      <c r="Q85" s="33">
        <v>121391</v>
      </c>
      <c r="R85" s="33">
        <v>10586</v>
      </c>
      <c r="S85" s="33">
        <v>23096</v>
      </c>
      <c r="T85" s="33">
        <f>26194+3869</f>
        <v>30063</v>
      </c>
      <c r="U85" s="33">
        <v>0</v>
      </c>
      <c r="V85" s="33">
        <v>49333</v>
      </c>
      <c r="W85" s="33">
        <v>7500</v>
      </c>
      <c r="X85" s="33">
        <v>0</v>
      </c>
      <c r="Y85" s="33">
        <f>1964+10471+7652</f>
        <v>20087</v>
      </c>
      <c r="Z85" s="33">
        <v>6091</v>
      </c>
      <c r="AA85" s="33">
        <v>0</v>
      </c>
      <c r="AB85" s="33">
        <v>0</v>
      </c>
      <c r="AC85" s="33">
        <v>2684</v>
      </c>
      <c r="AD85" s="33">
        <v>214697</v>
      </c>
      <c r="AE85" s="33">
        <v>293103</v>
      </c>
      <c r="AF85" s="31">
        <f t="shared" si="7"/>
        <v>0.73249676734799707</v>
      </c>
      <c r="AG85" s="33">
        <v>122177</v>
      </c>
      <c r="AH85" s="33">
        <v>122177</v>
      </c>
      <c r="AI85" s="33">
        <v>0</v>
      </c>
      <c r="AJ85" s="33">
        <v>46893</v>
      </c>
      <c r="AK85" s="33">
        <v>0</v>
      </c>
      <c r="AL85" s="33">
        <v>0</v>
      </c>
      <c r="AM85" s="33">
        <v>0</v>
      </c>
      <c r="AN85" s="33">
        <v>1085</v>
      </c>
      <c r="AO85" s="33">
        <v>1089</v>
      </c>
      <c r="AP85" s="35">
        <v>10</v>
      </c>
    </row>
    <row r="86" spans="1:42">
      <c r="A86" s="5">
        <v>9</v>
      </c>
      <c r="B86" s="22" t="s">
        <v>223</v>
      </c>
      <c r="C86" s="17" t="s">
        <v>246</v>
      </c>
      <c r="D86" s="22" t="s">
        <v>14</v>
      </c>
      <c r="E86" s="22" t="s">
        <v>368</v>
      </c>
      <c r="F86" s="33">
        <v>6050459</v>
      </c>
      <c r="G86" s="33">
        <v>386212</v>
      </c>
      <c r="H86" s="33">
        <v>2821200</v>
      </c>
      <c r="I86" s="33">
        <v>477204</v>
      </c>
      <c r="J86" s="33">
        <v>1726070</v>
      </c>
      <c r="K86" s="33">
        <v>5668959</v>
      </c>
      <c r="L86" s="28">
        <v>0.27</v>
      </c>
      <c r="M86" s="31">
        <f>415531/5731208</f>
        <v>7.2503213982113374E-2</v>
      </c>
      <c r="N86" s="33">
        <v>410021</v>
      </c>
      <c r="O86" s="33">
        <v>85350</v>
      </c>
      <c r="P86" s="33">
        <v>0</v>
      </c>
      <c r="Q86" s="33">
        <v>138873</v>
      </c>
      <c r="R86" s="33">
        <v>11856</v>
      </c>
      <c r="S86" s="33">
        <v>42176</v>
      </c>
      <c r="T86" s="33">
        <f>27011+3314</f>
        <v>30325</v>
      </c>
      <c r="U86" s="33">
        <v>8631</v>
      </c>
      <c r="V86" s="33">
        <v>15584</v>
      </c>
      <c r="W86" s="33">
        <v>7500</v>
      </c>
      <c r="X86" s="33">
        <v>1616</v>
      </c>
      <c r="Y86" s="33">
        <f>5345+13812+5771</f>
        <v>24928</v>
      </c>
      <c r="Z86" s="33">
        <v>4510</v>
      </c>
      <c r="AA86" s="33">
        <v>619</v>
      </c>
      <c r="AB86" s="33">
        <v>3530</v>
      </c>
      <c r="AC86" s="33">
        <v>0</v>
      </c>
      <c r="AD86" s="33">
        <v>2213</v>
      </c>
      <c r="AE86" s="33">
        <v>328481</v>
      </c>
      <c r="AF86" s="31">
        <f t="shared" si="7"/>
        <v>6.7370715505615242E-3</v>
      </c>
      <c r="AG86" s="33">
        <v>122177</v>
      </c>
      <c r="AH86" s="33">
        <v>122177</v>
      </c>
      <c r="AI86" s="33">
        <v>0</v>
      </c>
      <c r="AJ86" s="33">
        <v>47009</v>
      </c>
      <c r="AK86" s="33">
        <v>0</v>
      </c>
      <c r="AL86" s="33">
        <v>0</v>
      </c>
      <c r="AM86" s="33">
        <v>0</v>
      </c>
      <c r="AN86" s="33">
        <v>1476</v>
      </c>
      <c r="AO86" s="33">
        <v>1447</v>
      </c>
      <c r="AP86" s="35">
        <v>0</v>
      </c>
    </row>
    <row r="87" spans="1:42">
      <c r="A87" s="5">
        <v>9</v>
      </c>
      <c r="B87" s="22" t="s">
        <v>250</v>
      </c>
      <c r="C87" s="17" t="s">
        <v>408</v>
      </c>
      <c r="D87" s="22" t="s">
        <v>196</v>
      </c>
      <c r="E87" s="22" t="s">
        <v>323</v>
      </c>
      <c r="F87" s="33">
        <v>6800258</v>
      </c>
      <c r="G87" s="33">
        <v>172790</v>
      </c>
      <c r="H87" s="33">
        <v>3972723</v>
      </c>
      <c r="I87" s="33">
        <v>514704</v>
      </c>
      <c r="J87" s="33">
        <v>1147704</v>
      </c>
      <c r="K87" s="33">
        <v>6480712</v>
      </c>
      <c r="L87" s="28">
        <v>1.61</v>
      </c>
      <c r="M87" s="31">
        <f>356439/6480712</f>
        <v>5.4999975311354678E-2</v>
      </c>
      <c r="N87" s="33">
        <v>356429</v>
      </c>
      <c r="O87" s="33">
        <v>64993</v>
      </c>
      <c r="P87" s="33">
        <v>0</v>
      </c>
      <c r="Q87" s="33">
        <v>143699</v>
      </c>
      <c r="R87" s="33">
        <v>12270</v>
      </c>
      <c r="S87" s="33">
        <v>18701</v>
      </c>
      <c r="T87" s="33">
        <f>24801+3258</f>
        <v>28059</v>
      </c>
      <c r="U87" s="33">
        <v>0</v>
      </c>
      <c r="V87" s="33">
        <v>5730</v>
      </c>
      <c r="W87" s="33">
        <v>10500</v>
      </c>
      <c r="X87" s="33">
        <v>0</v>
      </c>
      <c r="Y87" s="33">
        <f>6523+10000+9644</f>
        <v>26167</v>
      </c>
      <c r="Z87" s="33">
        <v>2065</v>
      </c>
      <c r="AA87" s="33">
        <v>6544</v>
      </c>
      <c r="AB87" s="33">
        <v>1911</v>
      </c>
      <c r="AC87" s="33">
        <v>3185</v>
      </c>
      <c r="AD87" s="33">
        <v>274531</v>
      </c>
      <c r="AE87" s="33">
        <v>287296</v>
      </c>
      <c r="AF87" s="31">
        <f t="shared" si="7"/>
        <v>0.95556847293383829</v>
      </c>
      <c r="AG87" s="33">
        <v>122177</v>
      </c>
      <c r="AH87" s="33">
        <v>122177</v>
      </c>
      <c r="AI87" s="33">
        <v>0</v>
      </c>
      <c r="AJ87" s="33">
        <v>34962</v>
      </c>
      <c r="AK87" s="33">
        <v>0</v>
      </c>
      <c r="AL87" s="33">
        <v>0</v>
      </c>
      <c r="AM87" s="33">
        <v>0</v>
      </c>
      <c r="AN87" s="33">
        <v>1241</v>
      </c>
      <c r="AO87" s="33">
        <v>1218</v>
      </c>
      <c r="AP87" s="35">
        <v>18</v>
      </c>
    </row>
    <row r="88" spans="1:42">
      <c r="A88" s="5">
        <v>9</v>
      </c>
      <c r="B88" s="22" t="s">
        <v>281</v>
      </c>
      <c r="C88" s="17" t="s">
        <v>192</v>
      </c>
      <c r="D88" s="22" t="s">
        <v>158</v>
      </c>
      <c r="E88" s="22" t="s">
        <v>368</v>
      </c>
      <c r="F88" s="33">
        <v>31655440</v>
      </c>
      <c r="G88" s="33">
        <v>4521917</v>
      </c>
      <c r="H88" s="33">
        <v>17008012</v>
      </c>
      <c r="I88" s="33">
        <v>1903589</v>
      </c>
      <c r="J88" s="33">
        <v>5415612</v>
      </c>
      <c r="K88" s="33">
        <v>27112937</v>
      </c>
      <c r="L88" s="28">
        <v>2.0299999999999998</v>
      </c>
      <c r="M88" s="31">
        <f>1490825/27109782</f>
        <v>5.4992142688569022E-2</v>
      </c>
      <c r="N88" s="33">
        <v>1490914</v>
      </c>
      <c r="O88" s="33">
        <v>252740</v>
      </c>
      <c r="P88" s="33">
        <v>0</v>
      </c>
      <c r="Q88" s="33">
        <v>815635</v>
      </c>
      <c r="R88" s="33">
        <v>66724</v>
      </c>
      <c r="S88" s="33">
        <v>170030</v>
      </c>
      <c r="T88" s="33">
        <f>52860+16119</f>
        <v>68979</v>
      </c>
      <c r="U88" s="33">
        <v>765</v>
      </c>
      <c r="V88" s="33">
        <v>25096</v>
      </c>
      <c r="W88" s="33">
        <v>12800</v>
      </c>
      <c r="X88" s="33">
        <v>4346</v>
      </c>
      <c r="Y88" s="33">
        <f>15532+95482+61878</f>
        <v>172892</v>
      </c>
      <c r="Z88" s="33">
        <v>14096</v>
      </c>
      <c r="AA88" s="33">
        <v>4054</v>
      </c>
      <c r="AB88" s="33">
        <v>20329</v>
      </c>
      <c r="AC88" s="33">
        <v>18009</v>
      </c>
      <c r="AD88" s="33">
        <v>168121</v>
      </c>
      <c r="AE88" s="33">
        <v>1501676</v>
      </c>
      <c r="AF88" s="31">
        <f t="shared" si="7"/>
        <v>0.11195557497089918</v>
      </c>
      <c r="AG88" s="33">
        <v>122177</v>
      </c>
      <c r="AH88" s="33">
        <v>122177</v>
      </c>
      <c r="AI88" s="33">
        <v>0</v>
      </c>
      <c r="AJ88" s="33">
        <v>33278</v>
      </c>
      <c r="AK88" s="33">
        <v>0</v>
      </c>
      <c r="AL88" s="33">
        <v>0</v>
      </c>
      <c r="AM88" s="33">
        <v>0</v>
      </c>
      <c r="AN88" s="33">
        <v>5946</v>
      </c>
      <c r="AO88" s="33">
        <v>6051</v>
      </c>
      <c r="AP88" s="35">
        <v>19</v>
      </c>
    </row>
    <row r="89" spans="1:42">
      <c r="A89" s="5">
        <v>9</v>
      </c>
      <c r="B89" s="22" t="s">
        <v>315</v>
      </c>
      <c r="C89" s="17" t="s">
        <v>505</v>
      </c>
      <c r="D89" s="22" t="s">
        <v>442</v>
      </c>
      <c r="E89" s="22" t="s">
        <v>323</v>
      </c>
      <c r="F89" s="33">
        <v>4152021</v>
      </c>
      <c r="G89" s="33">
        <v>107782</v>
      </c>
      <c r="H89" s="33">
        <v>2379902</v>
      </c>
      <c r="I89" s="33">
        <v>266130</v>
      </c>
      <c r="J89" s="33">
        <v>964711</v>
      </c>
      <c r="K89" s="33">
        <v>4091607</v>
      </c>
      <c r="L89" s="28">
        <v>1.0900000000000001</v>
      </c>
      <c r="M89" s="31">
        <f>247309/4091607</f>
        <v>6.0442999535390375E-2</v>
      </c>
      <c r="N89" s="33">
        <v>247309</v>
      </c>
      <c r="O89" s="33">
        <v>37730</v>
      </c>
      <c r="P89" s="33">
        <v>0</v>
      </c>
      <c r="Q89" s="33">
        <v>49455</v>
      </c>
      <c r="R89" s="33">
        <v>4424</v>
      </c>
      <c r="S89" s="33">
        <v>7860</v>
      </c>
      <c r="T89" s="33">
        <v>11216</v>
      </c>
      <c r="U89" s="33">
        <v>5369</v>
      </c>
      <c r="V89" s="33">
        <v>4431</v>
      </c>
      <c r="W89" s="33">
        <v>7500</v>
      </c>
      <c r="X89" s="33">
        <v>0</v>
      </c>
      <c r="Y89" s="33">
        <f>5510+5770+6671</f>
        <v>17951</v>
      </c>
      <c r="Z89" s="33">
        <v>544</v>
      </c>
      <c r="AA89" s="33">
        <v>1659</v>
      </c>
      <c r="AB89" s="33">
        <v>0</v>
      </c>
      <c r="AC89" s="33">
        <v>22883</v>
      </c>
      <c r="AD89" s="33">
        <v>16585</v>
      </c>
      <c r="AE89" s="33">
        <v>161238</v>
      </c>
      <c r="AF89" s="31">
        <f t="shared" si="7"/>
        <v>0.10286036790334785</v>
      </c>
      <c r="AG89" s="33">
        <v>122334</v>
      </c>
      <c r="AH89" s="33">
        <v>122177</v>
      </c>
      <c r="AI89" s="33">
        <v>157</v>
      </c>
      <c r="AJ89" s="33">
        <v>22466</v>
      </c>
      <c r="AK89" s="33">
        <v>0</v>
      </c>
      <c r="AL89" s="33">
        <v>0</v>
      </c>
      <c r="AM89" s="33">
        <v>0</v>
      </c>
      <c r="AN89" s="33">
        <v>689</v>
      </c>
      <c r="AO89" s="33">
        <v>685</v>
      </c>
      <c r="AP89" s="35">
        <v>0</v>
      </c>
    </row>
    <row r="90" spans="1:42">
      <c r="A90" s="5">
        <v>9</v>
      </c>
      <c r="B90" s="22" t="s">
        <v>385</v>
      </c>
      <c r="C90" s="17" t="s">
        <v>176</v>
      </c>
      <c r="D90" s="22" t="s">
        <v>549</v>
      </c>
      <c r="E90" s="22" t="s">
        <v>368</v>
      </c>
      <c r="F90" s="33">
        <v>35971877</v>
      </c>
      <c r="G90" s="33">
        <v>939720</v>
      </c>
      <c r="H90" s="33">
        <v>20952262</v>
      </c>
      <c r="I90" s="33">
        <v>2754153</v>
      </c>
      <c r="J90" s="33">
        <v>8273643</v>
      </c>
      <c r="K90" s="33">
        <v>34973928</v>
      </c>
      <c r="L90" s="28">
        <v>1.06</v>
      </c>
      <c r="M90" s="31">
        <f>1411419/34891362</f>
        <v>4.0451817272137439E-2</v>
      </c>
      <c r="N90" s="33">
        <v>1410124</v>
      </c>
      <c r="O90" s="33">
        <v>408866</v>
      </c>
      <c r="P90" s="33">
        <v>0</v>
      </c>
      <c r="Q90" s="33">
        <v>829311</v>
      </c>
      <c r="R90" s="33">
        <v>62177</v>
      </c>
      <c r="S90" s="33">
        <v>145485</v>
      </c>
      <c r="T90" s="33">
        <v>173784</v>
      </c>
      <c r="U90" s="33">
        <v>0</v>
      </c>
      <c r="V90" s="33">
        <v>16533</v>
      </c>
      <c r="W90" s="33">
        <v>13200</v>
      </c>
      <c r="X90" s="33">
        <v>15955</v>
      </c>
      <c r="Y90" s="33">
        <f>29243+117049+59470</f>
        <v>205762</v>
      </c>
      <c r="Z90" s="33">
        <v>11143</v>
      </c>
      <c r="AA90" s="33">
        <f>8355+480</f>
        <v>8835</v>
      </c>
      <c r="AB90" s="33">
        <v>33258</v>
      </c>
      <c r="AC90" s="33">
        <v>59323</v>
      </c>
      <c r="AD90" s="33">
        <v>0</v>
      </c>
      <c r="AE90" s="33">
        <v>1682534</v>
      </c>
      <c r="AF90" s="31">
        <f t="shared" si="7"/>
        <v>0</v>
      </c>
      <c r="AG90" s="33">
        <v>122177</v>
      </c>
      <c r="AH90" s="33">
        <v>122177</v>
      </c>
      <c r="AI90" s="33">
        <v>0</v>
      </c>
      <c r="AJ90" s="33">
        <v>172251</v>
      </c>
      <c r="AK90" s="33">
        <v>0</v>
      </c>
      <c r="AL90" s="33">
        <v>0</v>
      </c>
      <c r="AM90" s="33">
        <v>0</v>
      </c>
      <c r="AN90" s="33">
        <v>6348</v>
      </c>
      <c r="AO90" s="33">
        <v>6693</v>
      </c>
      <c r="AP90" s="35">
        <v>58</v>
      </c>
    </row>
    <row r="91" spans="1:42">
      <c r="A91" s="5">
        <v>9</v>
      </c>
      <c r="B91" s="22" t="s">
        <v>433</v>
      </c>
      <c r="C91" s="17" t="s">
        <v>70</v>
      </c>
      <c r="D91" s="22" t="s">
        <v>196</v>
      </c>
      <c r="E91" s="22" t="s">
        <v>323</v>
      </c>
      <c r="F91" s="33">
        <v>7038059</v>
      </c>
      <c r="G91" s="33">
        <v>226997</v>
      </c>
      <c r="H91" s="33">
        <v>4170643</v>
      </c>
      <c r="I91" s="33">
        <v>541373</v>
      </c>
      <c r="J91" s="33">
        <v>1132800</v>
      </c>
      <c r="K91" s="33">
        <v>6687674</v>
      </c>
      <c r="L91" s="28">
        <v>1.7</v>
      </c>
      <c r="M91" s="31">
        <f>327332/6687674</f>
        <v>4.8945567621866734E-2</v>
      </c>
      <c r="N91" s="33">
        <v>327257</v>
      </c>
      <c r="O91" s="33">
        <v>109441</v>
      </c>
      <c r="P91" s="33">
        <v>0</v>
      </c>
      <c r="Q91" s="33">
        <v>149564</v>
      </c>
      <c r="R91" s="33">
        <v>12771</v>
      </c>
      <c r="S91" s="33">
        <v>19465</v>
      </c>
      <c r="T91" s="33">
        <f>24801+3391</f>
        <v>28192</v>
      </c>
      <c r="U91" s="33">
        <v>0</v>
      </c>
      <c r="V91" s="33">
        <v>5964</v>
      </c>
      <c r="W91" s="33">
        <v>10500</v>
      </c>
      <c r="X91" s="33">
        <v>0</v>
      </c>
      <c r="Y91" s="33">
        <f>6789+10408+10037</f>
        <v>27234</v>
      </c>
      <c r="Z91" s="33">
        <v>1841</v>
      </c>
      <c r="AA91" s="33">
        <v>6811</v>
      </c>
      <c r="AB91" s="33">
        <v>1989</v>
      </c>
      <c r="AC91" s="33">
        <v>3185</v>
      </c>
      <c r="AD91" s="33">
        <v>283641</v>
      </c>
      <c r="AE91" s="33">
        <v>296182</v>
      </c>
      <c r="AF91" s="31">
        <f t="shared" si="7"/>
        <v>0.9576577914930684</v>
      </c>
      <c r="AG91" s="33">
        <v>122177</v>
      </c>
      <c r="AH91" s="33">
        <v>122177</v>
      </c>
      <c r="AI91" s="33">
        <v>0</v>
      </c>
      <c r="AJ91" s="33">
        <v>44184</v>
      </c>
      <c r="AK91" s="33">
        <v>0</v>
      </c>
      <c r="AL91" s="33">
        <v>0</v>
      </c>
      <c r="AM91" s="33">
        <v>0</v>
      </c>
      <c r="AN91" s="33">
        <v>1305</v>
      </c>
      <c r="AO91" s="33">
        <v>1220</v>
      </c>
      <c r="AP91" s="35">
        <v>19</v>
      </c>
    </row>
    <row r="92" spans="1:42">
      <c r="A92" s="5">
        <v>9</v>
      </c>
      <c r="B92" s="22" t="s">
        <v>435</v>
      </c>
      <c r="C92" s="17" t="s">
        <v>509</v>
      </c>
      <c r="D92" s="22" t="s">
        <v>85</v>
      </c>
      <c r="E92" s="22" t="s">
        <v>368</v>
      </c>
      <c r="F92" s="33">
        <v>5893310</v>
      </c>
      <c r="G92" s="33">
        <v>111263</v>
      </c>
      <c r="H92" s="33">
        <v>2674870</v>
      </c>
      <c r="I92" s="33">
        <v>326873</v>
      </c>
      <c r="J92" s="33">
        <v>1619567</v>
      </c>
      <c r="K92" s="33">
        <v>5334041</v>
      </c>
      <c r="L92" s="28">
        <v>1.1200000000000001</v>
      </c>
      <c r="M92" s="31">
        <f>425632/5320761</f>
        <v>7.9994572204990982E-2</v>
      </c>
      <c r="N92" s="33">
        <v>419354</v>
      </c>
      <c r="O92" s="33">
        <v>54450</v>
      </c>
      <c r="P92" s="33">
        <v>0</v>
      </c>
      <c r="Q92" s="33">
        <v>141829</v>
      </c>
      <c r="R92" s="33">
        <v>10715</v>
      </c>
      <c r="S92" s="33">
        <v>28189</v>
      </c>
      <c r="T92" s="33">
        <v>57603</v>
      </c>
      <c r="U92" s="33">
        <v>1258</v>
      </c>
      <c r="V92" s="33">
        <v>19875</v>
      </c>
      <c r="W92" s="33">
        <v>7800</v>
      </c>
      <c r="X92" s="33">
        <v>1600</v>
      </c>
      <c r="Y92" s="33">
        <f>5832+9962+5598</f>
        <v>21392</v>
      </c>
      <c r="Z92" s="33">
        <v>3938</v>
      </c>
      <c r="AA92" s="33">
        <v>457</v>
      </c>
      <c r="AB92" s="33">
        <v>3902</v>
      </c>
      <c r="AC92" s="33">
        <v>11450</v>
      </c>
      <c r="AD92" s="33">
        <v>0</v>
      </c>
      <c r="AE92" s="33">
        <v>329735</v>
      </c>
      <c r="AF92" s="31">
        <f t="shared" si="7"/>
        <v>0</v>
      </c>
      <c r="AG92" s="33">
        <v>122177</v>
      </c>
      <c r="AH92" s="33">
        <v>122177</v>
      </c>
      <c r="AI92" s="33">
        <v>0</v>
      </c>
      <c r="AJ92" s="33">
        <v>24486</v>
      </c>
      <c r="AK92" s="33">
        <v>0</v>
      </c>
      <c r="AL92" s="33">
        <v>0</v>
      </c>
      <c r="AM92" s="33">
        <v>0</v>
      </c>
      <c r="AN92" s="33">
        <v>1623</v>
      </c>
      <c r="AO92" s="33">
        <v>1721</v>
      </c>
      <c r="AP92" s="35">
        <v>0</v>
      </c>
    </row>
    <row r="93" spans="1:42">
      <c r="A93" s="5">
        <v>9</v>
      </c>
      <c r="B93" s="22" t="s">
        <v>440</v>
      </c>
      <c r="C93" s="17" t="s">
        <v>128</v>
      </c>
      <c r="D93" s="22" t="s">
        <v>476</v>
      </c>
      <c r="E93" s="22" t="s">
        <v>323</v>
      </c>
      <c r="F93" s="33">
        <v>52381611</v>
      </c>
      <c r="G93" s="33">
        <v>1802523</v>
      </c>
      <c r="H93" s="33">
        <v>36344576</v>
      </c>
      <c r="I93" s="33">
        <v>1934739</v>
      </c>
      <c r="J93" s="33">
        <v>7707383</v>
      </c>
      <c r="K93" s="33">
        <v>50977003</v>
      </c>
      <c r="L93" s="28">
        <v>1.4</v>
      </c>
      <c r="M93" s="31">
        <f>1975934/50683732</f>
        <v>3.8985566414091212E-2</v>
      </c>
      <c r="N93" s="33">
        <v>1973218</v>
      </c>
      <c r="O93" s="33">
        <v>94970</v>
      </c>
      <c r="P93" s="33">
        <v>0</v>
      </c>
      <c r="Q93" s="33">
        <v>898012</v>
      </c>
      <c r="R93" s="33">
        <v>83156</v>
      </c>
      <c r="S93" s="33">
        <v>200529</v>
      </c>
      <c r="T93" s="33">
        <f>164059+17144</f>
        <v>181203</v>
      </c>
      <c r="U93" s="33">
        <v>4732</v>
      </c>
      <c r="V93" s="33">
        <v>16332</v>
      </c>
      <c r="W93" s="33">
        <v>13200</v>
      </c>
      <c r="X93" s="33">
        <v>15604</v>
      </c>
      <c r="Y93" s="33">
        <f>20124+71196+76728</f>
        <v>168048</v>
      </c>
      <c r="Z93" s="33">
        <v>18617</v>
      </c>
      <c r="AA93" s="33">
        <v>7285</v>
      </c>
      <c r="AB93" s="33">
        <v>637</v>
      </c>
      <c r="AC93" s="33">
        <v>68018</v>
      </c>
      <c r="AD93" s="33">
        <v>20329</v>
      </c>
      <c r="AE93" s="33">
        <v>1912274</v>
      </c>
      <c r="AF93" s="31">
        <f t="shared" si="7"/>
        <v>1.0630798724450576E-2</v>
      </c>
      <c r="AG93" s="33">
        <v>122177</v>
      </c>
      <c r="AH93" s="33">
        <v>122177</v>
      </c>
      <c r="AI93" s="33">
        <v>0</v>
      </c>
      <c r="AJ93" s="33">
        <v>259935</v>
      </c>
      <c r="AK93" s="33">
        <v>0</v>
      </c>
      <c r="AL93" s="33">
        <v>0</v>
      </c>
      <c r="AM93" s="33">
        <v>0</v>
      </c>
      <c r="AN93" s="33">
        <v>7909</v>
      </c>
      <c r="AO93" s="33">
        <v>7268</v>
      </c>
      <c r="AP93" s="35">
        <v>6</v>
      </c>
    </row>
    <row r="94" spans="1:42">
      <c r="A94" s="5">
        <v>9</v>
      </c>
      <c r="B94" s="22" t="s">
        <v>531</v>
      </c>
      <c r="C94" s="17" t="s">
        <v>344</v>
      </c>
      <c r="D94" s="22" t="s">
        <v>106</v>
      </c>
      <c r="E94" s="22" t="s">
        <v>368</v>
      </c>
      <c r="F94" s="33">
        <v>17426115</v>
      </c>
      <c r="G94" s="33">
        <v>991445</v>
      </c>
      <c r="H94" s="33">
        <v>9498195</v>
      </c>
      <c r="I94" s="33">
        <v>1737550</v>
      </c>
      <c r="J94" s="33">
        <v>3665470</v>
      </c>
      <c r="K94" s="33">
        <v>16510851</v>
      </c>
      <c r="L94" s="28">
        <v>0.67</v>
      </c>
      <c r="M94" s="31">
        <f>983936/16398929</f>
        <v>6.0000015854693924E-2</v>
      </c>
      <c r="N94" s="33">
        <v>983219</v>
      </c>
      <c r="O94" s="33">
        <v>296124</v>
      </c>
      <c r="P94" s="33">
        <v>0</v>
      </c>
      <c r="Q94" s="33">
        <v>393539</v>
      </c>
      <c r="R94" s="33">
        <v>33103</v>
      </c>
      <c r="S94" s="33">
        <v>98962</v>
      </c>
      <c r="T94" s="33">
        <f>69158+8134</f>
        <v>77292</v>
      </c>
      <c r="U94" s="33">
        <v>1514</v>
      </c>
      <c r="V94" s="33">
        <v>122963</v>
      </c>
      <c r="W94" s="33">
        <v>11000</v>
      </c>
      <c r="X94" s="33">
        <v>645</v>
      </c>
      <c r="Y94" s="33">
        <f>7121+64379+14787</f>
        <v>86287</v>
      </c>
      <c r="Z94" s="33">
        <v>6293</v>
      </c>
      <c r="AA94" s="33">
        <v>0</v>
      </c>
      <c r="AB94" s="33">
        <v>121</v>
      </c>
      <c r="AC94" s="33">
        <v>33335</v>
      </c>
      <c r="AD94" s="33">
        <v>0</v>
      </c>
      <c r="AE94" s="33">
        <v>1040973</v>
      </c>
      <c r="AF94" s="31">
        <f t="shared" si="7"/>
        <v>0</v>
      </c>
      <c r="AG94" s="33">
        <v>122177</v>
      </c>
      <c r="AH94" s="33">
        <v>122177</v>
      </c>
      <c r="AI94" s="33">
        <v>0</v>
      </c>
      <c r="AJ94" s="33">
        <v>176394</v>
      </c>
      <c r="AK94" s="33">
        <v>0</v>
      </c>
      <c r="AL94" s="33">
        <v>0</v>
      </c>
      <c r="AM94" s="33">
        <v>0</v>
      </c>
      <c r="AN94" s="33">
        <v>3971</v>
      </c>
      <c r="AO94" s="33">
        <v>4015</v>
      </c>
      <c r="AP94" s="35">
        <v>8</v>
      </c>
    </row>
    <row r="95" spans="1:42">
      <c r="A95" s="5">
        <v>10</v>
      </c>
      <c r="B95" s="22" t="s">
        <v>12</v>
      </c>
      <c r="C95" s="17" t="s">
        <v>143</v>
      </c>
      <c r="D95" s="22" t="s">
        <v>174</v>
      </c>
      <c r="E95" s="22" t="s">
        <v>235</v>
      </c>
      <c r="F95" s="33">
        <v>2871017</v>
      </c>
      <c r="G95" s="33">
        <v>161076</v>
      </c>
      <c r="H95" s="33">
        <v>1586131</v>
      </c>
      <c r="I95" s="33">
        <v>181889</v>
      </c>
      <c r="J95" s="33">
        <v>474896</v>
      </c>
      <c r="K95" s="33">
        <v>2799408</v>
      </c>
      <c r="L95" s="28">
        <v>3.4</v>
      </c>
      <c r="M95" s="31">
        <f>272253/2792336</f>
        <v>9.750008594954189E-2</v>
      </c>
      <c r="N95" s="33">
        <v>269121</v>
      </c>
      <c r="O95" s="33">
        <v>31894</v>
      </c>
      <c r="P95" s="33">
        <v>0</v>
      </c>
      <c r="Q95" s="33">
        <v>76676</v>
      </c>
      <c r="R95" s="33">
        <v>3885</v>
      </c>
      <c r="S95" s="33">
        <v>8067</v>
      </c>
      <c r="T95" s="33">
        <v>7530</v>
      </c>
      <c r="U95" s="33">
        <v>0</v>
      </c>
      <c r="V95" s="33">
        <v>16379</v>
      </c>
      <c r="W95" s="33">
        <v>5750</v>
      </c>
      <c r="X95" s="33">
        <v>0</v>
      </c>
      <c r="Y95" s="33">
        <f>4500+5856+3897</f>
        <v>14253</v>
      </c>
      <c r="Z95" s="33">
        <v>1731</v>
      </c>
      <c r="AA95" s="33">
        <v>0</v>
      </c>
      <c r="AB95" s="33">
        <v>1563</v>
      </c>
      <c r="AC95" s="33">
        <v>8656</v>
      </c>
      <c r="AD95" s="33">
        <v>35260</v>
      </c>
      <c r="AE95" s="33">
        <v>210140</v>
      </c>
      <c r="AF95" s="31">
        <f t="shared" si="7"/>
        <v>0.16779289997144761</v>
      </c>
      <c r="AG95" s="33">
        <v>122177</v>
      </c>
      <c r="AH95" s="33">
        <v>122177</v>
      </c>
      <c r="AI95" s="33">
        <v>0</v>
      </c>
      <c r="AJ95" s="33">
        <v>29876</v>
      </c>
      <c r="AK95" s="33">
        <v>0</v>
      </c>
      <c r="AL95" s="33">
        <v>0</v>
      </c>
      <c r="AM95" s="33">
        <v>0</v>
      </c>
      <c r="AN95" s="33">
        <v>702</v>
      </c>
      <c r="AO95" s="33">
        <v>713</v>
      </c>
      <c r="AP95" s="35">
        <v>9</v>
      </c>
    </row>
    <row r="96" spans="1:42">
      <c r="A96" s="5">
        <v>10</v>
      </c>
      <c r="B96" s="22" t="s">
        <v>57</v>
      </c>
      <c r="C96" s="17" t="s">
        <v>252</v>
      </c>
      <c r="D96" s="22" t="s">
        <v>467</v>
      </c>
      <c r="E96" s="22" t="s">
        <v>235</v>
      </c>
      <c r="F96" s="33">
        <v>2429936</v>
      </c>
      <c r="G96" s="33">
        <v>19510</v>
      </c>
      <c r="H96" s="33">
        <v>1145435</v>
      </c>
      <c r="I96" s="33">
        <v>168768</v>
      </c>
      <c r="J96" s="33">
        <v>430351</v>
      </c>
      <c r="K96" s="33">
        <v>2148969</v>
      </c>
      <c r="L96" s="28">
        <v>1.06</v>
      </c>
      <c r="M96" s="31">
        <f>198760/2148760</f>
        <v>9.2499860384593902E-2</v>
      </c>
      <c r="N96" s="33">
        <v>198700</v>
      </c>
      <c r="O96" s="33">
        <v>828</v>
      </c>
      <c r="P96" s="33">
        <v>0</v>
      </c>
      <c r="Q96" s="33">
        <v>51987</v>
      </c>
      <c r="R96" s="33">
        <v>5101</v>
      </c>
      <c r="S96" s="33">
        <v>4107</v>
      </c>
      <c r="T96" s="33">
        <v>9600</v>
      </c>
      <c r="U96" s="33">
        <v>150</v>
      </c>
      <c r="V96" s="33">
        <v>3664</v>
      </c>
      <c r="W96" s="33">
        <v>5250</v>
      </c>
      <c r="X96" s="33">
        <v>0</v>
      </c>
      <c r="Y96" s="33">
        <f>4184+3567+4775</f>
        <v>12526</v>
      </c>
      <c r="Z96" s="33">
        <v>2171</v>
      </c>
      <c r="AA96" s="33">
        <v>2127</v>
      </c>
      <c r="AB96" s="33">
        <v>0</v>
      </c>
      <c r="AC96" s="33">
        <v>5488</v>
      </c>
      <c r="AD96" s="33">
        <v>25322</v>
      </c>
      <c r="AE96" s="33">
        <v>109624</v>
      </c>
      <c r="AF96" s="31">
        <f t="shared" si="7"/>
        <v>0.23098956432897905</v>
      </c>
      <c r="AG96" s="33">
        <v>102821</v>
      </c>
      <c r="AH96" s="33">
        <v>102821</v>
      </c>
      <c r="AI96" s="33">
        <v>0</v>
      </c>
      <c r="AJ96" s="33">
        <v>10</v>
      </c>
      <c r="AK96" s="33">
        <v>0</v>
      </c>
      <c r="AL96" s="33">
        <v>0</v>
      </c>
      <c r="AM96" s="33">
        <v>0</v>
      </c>
      <c r="AN96" s="33">
        <v>711</v>
      </c>
      <c r="AO96" s="33">
        <v>604</v>
      </c>
      <c r="AP96" s="35">
        <v>6</v>
      </c>
    </row>
    <row r="97" spans="1:42">
      <c r="A97" s="5">
        <v>10</v>
      </c>
      <c r="B97" s="22" t="s">
        <v>65</v>
      </c>
      <c r="C97" s="17" t="s">
        <v>422</v>
      </c>
      <c r="D97" s="22" t="s">
        <v>431</v>
      </c>
      <c r="E97" s="22" t="s">
        <v>234</v>
      </c>
      <c r="F97" s="33">
        <v>1942638</v>
      </c>
      <c r="G97" s="33">
        <v>10786</v>
      </c>
      <c r="H97" s="33">
        <v>1081203</v>
      </c>
      <c r="I97" s="33">
        <v>108490</v>
      </c>
      <c r="J97" s="33">
        <v>392745</v>
      </c>
      <c r="K97" s="33">
        <v>1901547</v>
      </c>
      <c r="L97" s="28">
        <v>1.37</v>
      </c>
      <c r="M97" s="31">
        <f>190155/1901547</f>
        <v>0.10000015776628188</v>
      </c>
      <c r="N97" s="33">
        <v>189997</v>
      </c>
      <c r="O97" s="33">
        <v>25910</v>
      </c>
      <c r="P97" s="33">
        <v>0</v>
      </c>
      <c r="Q97" s="33">
        <v>62182</v>
      </c>
      <c r="R97" s="33">
        <v>5005</v>
      </c>
      <c r="S97" s="33">
        <v>3912</v>
      </c>
      <c r="T97" s="33">
        <f>7414+748</f>
        <v>8162</v>
      </c>
      <c r="U97" s="33">
        <v>0</v>
      </c>
      <c r="V97" s="33">
        <v>0</v>
      </c>
      <c r="W97" s="33">
        <v>5250</v>
      </c>
      <c r="X97" s="33">
        <v>0</v>
      </c>
      <c r="Y97" s="33">
        <f>1170+4022+3411</f>
        <v>8603</v>
      </c>
      <c r="Z97" s="33">
        <v>2741</v>
      </c>
      <c r="AA97" s="33">
        <f>252+125+46</f>
        <v>423</v>
      </c>
      <c r="AB97" s="33">
        <v>441</v>
      </c>
      <c r="AC97" s="33">
        <v>3884</v>
      </c>
      <c r="AD97" s="33">
        <v>29743</v>
      </c>
      <c r="AE97" s="33">
        <v>106241</v>
      </c>
      <c r="AF97" s="31">
        <f t="shared" si="7"/>
        <v>0.27995783172221644</v>
      </c>
      <c r="AG97" s="33">
        <v>96593</v>
      </c>
      <c r="AH97" s="33">
        <v>96593</v>
      </c>
      <c r="AI97" s="33">
        <v>0</v>
      </c>
      <c r="AJ97" s="33">
        <v>14728</v>
      </c>
      <c r="AK97" s="33">
        <v>0</v>
      </c>
      <c r="AL97" s="33">
        <v>0</v>
      </c>
      <c r="AM97" s="33">
        <v>0</v>
      </c>
      <c r="AN97" s="33">
        <v>549</v>
      </c>
      <c r="AO97" s="33">
        <v>586</v>
      </c>
      <c r="AP97" s="35">
        <v>0</v>
      </c>
    </row>
    <row r="98" spans="1:42">
      <c r="A98" s="5">
        <v>10</v>
      </c>
      <c r="B98" s="22" t="s">
        <v>72</v>
      </c>
      <c r="C98" s="17" t="s">
        <v>428</v>
      </c>
      <c r="D98" s="22" t="s">
        <v>237</v>
      </c>
      <c r="E98" s="22" t="s">
        <v>235</v>
      </c>
      <c r="F98" s="33">
        <v>11784895</v>
      </c>
      <c r="G98" s="33">
        <v>746257</v>
      </c>
      <c r="H98" s="33">
        <v>5527821</v>
      </c>
      <c r="I98" s="33">
        <v>1245909</v>
      </c>
      <c r="J98" s="33">
        <v>2298744</v>
      </c>
      <c r="K98" s="33">
        <v>10602753</v>
      </c>
      <c r="L98" s="28">
        <v>4.05</v>
      </c>
      <c r="M98" s="31">
        <v>0.06</v>
      </c>
      <c r="N98" s="33">
        <v>604357</v>
      </c>
      <c r="O98" s="33">
        <v>72964</v>
      </c>
      <c r="P98" s="33">
        <v>0</v>
      </c>
      <c r="Q98" s="33">
        <v>269340</v>
      </c>
      <c r="R98" s="33">
        <v>25921</v>
      </c>
      <c r="S98" s="33">
        <v>41971</v>
      </c>
      <c r="T98" s="33">
        <v>57206</v>
      </c>
      <c r="U98" s="33">
        <v>21758</v>
      </c>
      <c r="V98" s="33">
        <v>24447</v>
      </c>
      <c r="W98" s="33">
        <v>6300</v>
      </c>
      <c r="X98" s="33">
        <v>150</v>
      </c>
      <c r="Y98" s="33">
        <f>6661+10420+10997</f>
        <v>28078</v>
      </c>
      <c r="Z98" s="33">
        <v>4116</v>
      </c>
      <c r="AA98" s="33">
        <v>0</v>
      </c>
      <c r="AB98" s="33">
        <v>9934</v>
      </c>
      <c r="AC98" s="33">
        <v>20797</v>
      </c>
      <c r="AD98" s="33">
        <v>30124</v>
      </c>
      <c r="AE98" s="33">
        <v>550306</v>
      </c>
      <c r="AF98" s="31">
        <f t="shared" si="7"/>
        <v>5.4740453493147448E-2</v>
      </c>
      <c r="AG98" s="33">
        <v>122177</v>
      </c>
      <c r="AH98" s="33">
        <v>122177</v>
      </c>
      <c r="AI98" s="33">
        <v>0</v>
      </c>
      <c r="AJ98" s="33">
        <v>84913</v>
      </c>
      <c r="AK98" s="33">
        <v>0</v>
      </c>
      <c r="AL98" s="33">
        <v>0</v>
      </c>
      <c r="AM98" s="33">
        <v>0</v>
      </c>
      <c r="AN98" s="33">
        <v>4128</v>
      </c>
      <c r="AO98" s="33">
        <v>3773</v>
      </c>
      <c r="AP98" s="35">
        <v>0</v>
      </c>
    </row>
    <row r="99" spans="1:42">
      <c r="A99" s="5">
        <v>10</v>
      </c>
      <c r="B99" s="22" t="s">
        <v>91</v>
      </c>
      <c r="C99" s="17" t="s">
        <v>381</v>
      </c>
      <c r="D99" s="22" t="s">
        <v>122</v>
      </c>
      <c r="E99" s="22" t="s">
        <v>235</v>
      </c>
      <c r="F99" s="33">
        <v>7834404</v>
      </c>
      <c r="G99" s="33">
        <v>348426</v>
      </c>
      <c r="H99" s="33">
        <v>4986992</v>
      </c>
      <c r="I99" s="33">
        <v>509865</v>
      </c>
      <c r="J99" s="33">
        <v>1212092</v>
      </c>
      <c r="K99" s="33">
        <v>7466921</v>
      </c>
      <c r="L99" s="28">
        <v>2.14</v>
      </c>
      <c r="M99" s="31">
        <f>442515/5770562</f>
        <v>7.6684905213738275E-2</v>
      </c>
      <c r="N99" s="33">
        <v>442515</v>
      </c>
      <c r="O99" s="33">
        <v>64619</v>
      </c>
      <c r="P99" s="33">
        <v>0</v>
      </c>
      <c r="Q99" s="33">
        <v>154113</v>
      </c>
      <c r="R99" s="33">
        <v>11939</v>
      </c>
      <c r="S99" s="33">
        <v>15076</v>
      </c>
      <c r="T99" s="33">
        <f>43996+3478</f>
        <v>47474</v>
      </c>
      <c r="U99" s="33">
        <v>100</v>
      </c>
      <c r="V99" s="33">
        <v>67021</v>
      </c>
      <c r="W99" s="33">
        <v>6315</v>
      </c>
      <c r="X99" s="33">
        <v>495</v>
      </c>
      <c r="Y99" s="33">
        <f>4973+21284+8726</f>
        <v>34983</v>
      </c>
      <c r="Z99" s="33">
        <v>8432</v>
      </c>
      <c r="AA99" s="33">
        <f>3427+228+113</f>
        <v>3768</v>
      </c>
      <c r="AB99" s="33">
        <v>0</v>
      </c>
      <c r="AC99" s="33">
        <v>8423</v>
      </c>
      <c r="AD99" s="33">
        <v>0</v>
      </c>
      <c r="AE99" s="33">
        <v>370885</v>
      </c>
      <c r="AF99" s="31">
        <f t="shared" si="7"/>
        <v>0</v>
      </c>
      <c r="AG99" s="33">
        <v>122177</v>
      </c>
      <c r="AH99" s="33">
        <v>122177</v>
      </c>
      <c r="AI99" s="33">
        <v>0</v>
      </c>
      <c r="AJ99" s="33">
        <v>62496</v>
      </c>
      <c r="AK99" s="33">
        <v>0</v>
      </c>
      <c r="AL99" s="33">
        <v>0</v>
      </c>
      <c r="AM99" s="33">
        <v>0</v>
      </c>
      <c r="AN99" s="33">
        <v>1519</v>
      </c>
      <c r="AO99" s="33">
        <v>1497</v>
      </c>
      <c r="AP99" s="35">
        <v>18</v>
      </c>
    </row>
    <row r="100" spans="1:42">
      <c r="A100" s="5">
        <v>10</v>
      </c>
      <c r="B100" s="22" t="s">
        <v>105</v>
      </c>
      <c r="C100" s="17" t="s">
        <v>325</v>
      </c>
      <c r="D100" s="22" t="s">
        <v>387</v>
      </c>
      <c r="E100" s="22" t="s">
        <v>234</v>
      </c>
      <c r="F100" s="33">
        <v>2396552</v>
      </c>
      <c r="G100" s="33">
        <v>35548</v>
      </c>
      <c r="H100" s="33">
        <v>1012776</v>
      </c>
      <c r="I100" s="33">
        <v>172906</v>
      </c>
      <c r="J100" s="33">
        <v>718051</v>
      </c>
      <c r="K100" s="33">
        <v>2325868</v>
      </c>
      <c r="L100" s="28">
        <v>0.39</v>
      </c>
      <c r="M100" s="31">
        <f>232586/2325868</f>
        <v>9.9999656042389334E-2</v>
      </c>
      <c r="N100" s="33">
        <v>231670</v>
      </c>
      <c r="O100" s="33">
        <v>6894</v>
      </c>
      <c r="P100" s="33">
        <v>0</v>
      </c>
      <c r="Q100" s="33">
        <v>50923</v>
      </c>
      <c r="R100" s="33">
        <v>11021</v>
      </c>
      <c r="S100" s="33">
        <v>4065</v>
      </c>
      <c r="T100" s="33">
        <f>6800+490</f>
        <v>7290</v>
      </c>
      <c r="U100" s="33">
        <v>0</v>
      </c>
      <c r="V100" s="33">
        <v>46000</v>
      </c>
      <c r="W100" s="33">
        <v>5750</v>
      </c>
      <c r="X100" s="33">
        <v>0</v>
      </c>
      <c r="Y100" s="33">
        <f>2018+2679+1488</f>
        <v>6185</v>
      </c>
      <c r="Z100" s="33">
        <v>0</v>
      </c>
      <c r="AA100" s="33">
        <v>793</v>
      </c>
      <c r="AB100" s="33">
        <v>0</v>
      </c>
      <c r="AC100" s="33">
        <v>0</v>
      </c>
      <c r="AD100" s="33">
        <v>30368</v>
      </c>
      <c r="AE100" s="33">
        <v>135248</v>
      </c>
      <c r="AF100" s="31">
        <f t="shared" si="7"/>
        <v>0.22453566781024489</v>
      </c>
      <c r="AG100" s="33">
        <v>104045</v>
      </c>
      <c r="AH100" s="33">
        <v>104045</v>
      </c>
      <c r="AI100" s="33">
        <v>0</v>
      </c>
      <c r="AJ100" s="33">
        <v>1616</v>
      </c>
      <c r="AK100" s="33">
        <v>0</v>
      </c>
      <c r="AL100" s="33">
        <v>0</v>
      </c>
      <c r="AM100" s="33">
        <v>0</v>
      </c>
      <c r="AN100" s="33">
        <v>843</v>
      </c>
      <c r="AO100" s="33">
        <v>818</v>
      </c>
      <c r="AP100" s="35">
        <v>0</v>
      </c>
    </row>
    <row r="101" spans="1:42">
      <c r="A101" s="5">
        <v>10</v>
      </c>
      <c r="B101" s="22" t="s">
        <v>134</v>
      </c>
      <c r="C101" s="17" t="s">
        <v>143</v>
      </c>
      <c r="D101" s="22" t="s">
        <v>503</v>
      </c>
      <c r="E101" s="22" t="s">
        <v>235</v>
      </c>
      <c r="F101" s="33">
        <v>1464719</v>
      </c>
      <c r="G101" s="33">
        <v>7369</v>
      </c>
      <c r="H101" s="33">
        <v>864398</v>
      </c>
      <c r="I101" s="33">
        <v>102758</v>
      </c>
      <c r="J101" s="33">
        <v>220982</v>
      </c>
      <c r="K101" s="33">
        <v>1429842</v>
      </c>
      <c r="L101" s="28">
        <v>0.9</v>
      </c>
      <c r="M101" s="31">
        <f>141647/1429789</f>
        <v>9.9068463948176963E-2</v>
      </c>
      <c r="N101" s="33">
        <v>141512</v>
      </c>
      <c r="O101" s="33">
        <v>13447</v>
      </c>
      <c r="P101" s="33">
        <v>0</v>
      </c>
      <c r="Q101" s="33">
        <v>32704</v>
      </c>
      <c r="R101" s="33">
        <v>2694</v>
      </c>
      <c r="S101" s="33">
        <v>2160</v>
      </c>
      <c r="T101" s="33">
        <f>5962+1573</f>
        <v>7535</v>
      </c>
      <c r="U101" s="33">
        <v>0</v>
      </c>
      <c r="V101" s="33">
        <v>1665</v>
      </c>
      <c r="W101" s="33">
        <v>4750</v>
      </c>
      <c r="X101" s="33">
        <v>0</v>
      </c>
      <c r="Y101" s="33">
        <f>2242+2606+3244</f>
        <v>8092</v>
      </c>
      <c r="Z101" s="33">
        <v>1800</v>
      </c>
      <c r="AA101" s="33">
        <v>112</v>
      </c>
      <c r="AB101" s="33">
        <v>3159</v>
      </c>
      <c r="AC101" s="33">
        <v>3803</v>
      </c>
      <c r="AD101" s="33">
        <v>25568</v>
      </c>
      <c r="AE101" s="33">
        <v>72667</v>
      </c>
      <c r="AF101" s="31">
        <f t="shared" si="7"/>
        <v>0.35185159701102287</v>
      </c>
      <c r="AG101" s="33">
        <v>72560</v>
      </c>
      <c r="AH101" s="33">
        <v>72868</v>
      </c>
      <c r="AI101" s="33">
        <v>0</v>
      </c>
      <c r="AJ101" s="33">
        <v>3432</v>
      </c>
      <c r="AK101" s="33">
        <v>0</v>
      </c>
      <c r="AL101" s="33">
        <v>0</v>
      </c>
      <c r="AM101" s="33">
        <v>0</v>
      </c>
      <c r="AN101" s="33">
        <v>381</v>
      </c>
      <c r="AO101" s="33">
        <v>328</v>
      </c>
      <c r="AP101" s="35">
        <v>5</v>
      </c>
    </row>
    <row r="102" spans="1:42">
      <c r="A102" s="5">
        <v>10</v>
      </c>
      <c r="B102" s="22" t="s">
        <v>190</v>
      </c>
      <c r="C102" s="17" t="s">
        <v>243</v>
      </c>
      <c r="D102" s="22" t="s">
        <v>379</v>
      </c>
      <c r="E102" s="22" t="s">
        <v>234</v>
      </c>
      <c r="F102" s="33">
        <v>674744</v>
      </c>
      <c r="G102" s="33">
        <v>8178</v>
      </c>
      <c r="H102" s="33">
        <v>171725</v>
      </c>
      <c r="I102" s="33">
        <v>86197</v>
      </c>
      <c r="J102" s="33">
        <v>338182</v>
      </c>
      <c r="K102" s="33">
        <v>697942</v>
      </c>
      <c r="L102" s="28">
        <v>0.5</v>
      </c>
      <c r="M102" s="31">
        <f>69794/697942</f>
        <v>9.9999713443237409E-2</v>
      </c>
      <c r="N102" s="33">
        <v>69606</v>
      </c>
      <c r="O102" s="33">
        <v>833</v>
      </c>
      <c r="P102" s="33">
        <v>0</v>
      </c>
      <c r="Q102" s="33">
        <v>19400</v>
      </c>
      <c r="R102" s="33">
        <v>1426</v>
      </c>
      <c r="S102" s="33">
        <v>0</v>
      </c>
      <c r="T102" s="33">
        <f>8500+1675</f>
        <v>10175</v>
      </c>
      <c r="U102" s="33">
        <v>0</v>
      </c>
      <c r="V102" s="33">
        <v>0</v>
      </c>
      <c r="W102" s="33">
        <v>5250</v>
      </c>
      <c r="X102" s="33">
        <v>0</v>
      </c>
      <c r="Y102" s="33">
        <f>1087+1773+1793</f>
        <v>4653</v>
      </c>
      <c r="Z102" s="33">
        <v>92</v>
      </c>
      <c r="AA102" s="33">
        <v>1421</v>
      </c>
      <c r="AB102" s="33">
        <v>0</v>
      </c>
      <c r="AC102" s="33">
        <v>0</v>
      </c>
      <c r="AD102" s="33">
        <v>18938</v>
      </c>
      <c r="AE102" s="33">
        <v>43379</v>
      </c>
      <c r="AF102" s="31">
        <f t="shared" si="7"/>
        <v>0.43657069088729572</v>
      </c>
      <c r="AG102" s="33">
        <v>29074</v>
      </c>
      <c r="AH102" s="33">
        <v>29074</v>
      </c>
      <c r="AI102" s="33">
        <v>0</v>
      </c>
      <c r="AJ102" s="33">
        <v>0</v>
      </c>
      <c r="AK102" s="33">
        <v>0</v>
      </c>
      <c r="AL102" s="33">
        <v>0</v>
      </c>
      <c r="AM102" s="33">
        <v>0</v>
      </c>
      <c r="AN102" s="33">
        <v>311</v>
      </c>
      <c r="AO102" s="33">
        <v>289</v>
      </c>
      <c r="AP102" s="35">
        <v>0</v>
      </c>
    </row>
    <row r="103" spans="1:42">
      <c r="A103" s="5">
        <v>10</v>
      </c>
      <c r="B103" s="22" t="s">
        <v>194</v>
      </c>
      <c r="C103" s="17" t="s">
        <v>249</v>
      </c>
      <c r="D103" s="22" t="s">
        <v>480</v>
      </c>
      <c r="E103" s="22" t="s">
        <v>234</v>
      </c>
      <c r="F103" s="33">
        <v>1548023</v>
      </c>
      <c r="G103" s="33">
        <v>57083</v>
      </c>
      <c r="H103" s="33">
        <f>53195+338570</f>
        <v>391765</v>
      </c>
      <c r="I103" s="33">
        <v>239903</v>
      </c>
      <c r="J103" s="33">
        <v>682623</v>
      </c>
      <c r="K103" s="33">
        <v>1506786</v>
      </c>
      <c r="L103" s="28">
        <v>1.2</v>
      </c>
      <c r="M103" s="31">
        <f>150679/1506786</f>
        <v>0.10000026546569984</v>
      </c>
      <c r="N103" s="33">
        <v>149521</v>
      </c>
      <c r="O103" s="33">
        <v>1708</v>
      </c>
      <c r="P103" s="33">
        <v>0</v>
      </c>
      <c r="Q103" s="33">
        <v>26974</v>
      </c>
      <c r="R103" s="33">
        <v>2103</v>
      </c>
      <c r="S103" s="33">
        <v>2770</v>
      </c>
      <c r="T103" s="33">
        <f>3700+1450</f>
        <v>5150</v>
      </c>
      <c r="U103" s="33">
        <v>0</v>
      </c>
      <c r="V103" s="33">
        <v>10867</v>
      </c>
      <c r="W103" s="33">
        <v>5250</v>
      </c>
      <c r="X103" s="33">
        <v>0</v>
      </c>
      <c r="Y103" s="33">
        <f>2063+2542+1349</f>
        <v>5954</v>
      </c>
      <c r="Z103" s="33">
        <v>339</v>
      </c>
      <c r="AA103" s="33">
        <v>1575</v>
      </c>
      <c r="AB103" s="33">
        <v>0</v>
      </c>
      <c r="AC103" s="33">
        <v>3050</v>
      </c>
      <c r="AD103" s="33">
        <v>31847</v>
      </c>
      <c r="AE103" s="33">
        <v>68730</v>
      </c>
      <c r="AF103" s="31">
        <f t="shared" si="7"/>
        <v>0.46336388767641495</v>
      </c>
      <c r="AG103" s="33">
        <v>75157</v>
      </c>
      <c r="AH103" s="33">
        <v>74547</v>
      </c>
      <c r="AI103" s="33">
        <v>610</v>
      </c>
      <c r="AJ103" s="33">
        <v>9830</v>
      </c>
      <c r="AK103" s="33">
        <v>0</v>
      </c>
      <c r="AL103" s="33">
        <v>0</v>
      </c>
      <c r="AM103" s="33">
        <v>0</v>
      </c>
      <c r="AN103" s="33">
        <v>332</v>
      </c>
      <c r="AO103" s="33">
        <v>320</v>
      </c>
      <c r="AP103" s="35">
        <v>1</v>
      </c>
    </row>
    <row r="104" spans="1:42">
      <c r="A104" s="5">
        <v>10</v>
      </c>
      <c r="B104" s="22" t="s">
        <v>256</v>
      </c>
      <c r="C104" s="17" t="s">
        <v>58</v>
      </c>
      <c r="D104" s="22" t="s">
        <v>55</v>
      </c>
      <c r="E104" s="22" t="s">
        <v>234</v>
      </c>
      <c r="F104" s="33">
        <v>2026463</v>
      </c>
      <c r="G104" s="33">
        <v>29905</v>
      </c>
      <c r="H104" s="33">
        <v>1318657</v>
      </c>
      <c r="I104" s="33">
        <v>106483</v>
      </c>
      <c r="J104" s="33">
        <v>322463</v>
      </c>
      <c r="K104" s="33">
        <v>1995777</v>
      </c>
      <c r="L104" s="28">
        <v>0.34</v>
      </c>
      <c r="M104" s="31">
        <f>155601/1556011</f>
        <v>9.9999935733102147E-2</v>
      </c>
      <c r="N104" s="33">
        <v>155672</v>
      </c>
      <c r="O104" s="33">
        <v>6141</v>
      </c>
      <c r="P104" s="33">
        <v>0</v>
      </c>
      <c r="Q104" s="33">
        <v>35716</v>
      </c>
      <c r="R104" s="33">
        <v>2737</v>
      </c>
      <c r="S104" s="33">
        <v>0</v>
      </c>
      <c r="T104" s="33">
        <v>3480</v>
      </c>
      <c r="U104" s="33">
        <v>1439</v>
      </c>
      <c r="V104" s="33">
        <v>15863</v>
      </c>
      <c r="W104" s="33">
        <v>5250</v>
      </c>
      <c r="X104" s="33">
        <v>0</v>
      </c>
      <c r="Y104" s="33">
        <f>1662+3627+1445</f>
        <v>6734</v>
      </c>
      <c r="Z104" s="33">
        <v>85</v>
      </c>
      <c r="AA104" s="33">
        <f>1593+95</f>
        <v>1688</v>
      </c>
      <c r="AB104" s="33">
        <v>351</v>
      </c>
      <c r="AC104" s="33">
        <v>187</v>
      </c>
      <c r="AD104" s="33">
        <v>51910</v>
      </c>
      <c r="AE104" s="33">
        <v>79367</v>
      </c>
      <c r="AF104" s="31">
        <f t="shared" si="7"/>
        <v>0.65405017198583792</v>
      </c>
      <c r="AG104" s="33">
        <v>81702</v>
      </c>
      <c r="AH104" s="33">
        <v>81702</v>
      </c>
      <c r="AI104" s="33">
        <v>0</v>
      </c>
      <c r="AJ104" s="33">
        <v>5611</v>
      </c>
      <c r="AK104" s="33">
        <v>0</v>
      </c>
      <c r="AL104" s="33">
        <v>0</v>
      </c>
      <c r="AM104" s="33">
        <v>5426</v>
      </c>
      <c r="AN104" s="33">
        <v>395</v>
      </c>
      <c r="AO104" s="33">
        <v>389</v>
      </c>
      <c r="AP104" s="35">
        <v>0</v>
      </c>
    </row>
    <row r="105" spans="1:42">
      <c r="A105" s="5">
        <v>10</v>
      </c>
      <c r="B105" s="22" t="s">
        <v>316</v>
      </c>
      <c r="C105" s="17" t="s">
        <v>243</v>
      </c>
      <c r="D105" s="22" t="s">
        <v>53</v>
      </c>
      <c r="E105" s="22" t="s">
        <v>234</v>
      </c>
      <c r="F105" s="33">
        <v>11052379</v>
      </c>
      <c r="G105" s="33">
        <v>263661</v>
      </c>
      <c r="H105" s="33">
        <v>7258557</v>
      </c>
      <c r="I105" s="33">
        <v>343022</v>
      </c>
      <c r="J105" s="33">
        <v>1719266</v>
      </c>
      <c r="K105" s="33">
        <v>10731861</v>
      </c>
      <c r="L105" s="28">
        <v>0.32</v>
      </c>
      <c r="M105" s="31">
        <f>594918/7627646</f>
        <v>7.7994967254641862E-2</v>
      </c>
      <c r="N105" s="33">
        <v>595153</v>
      </c>
      <c r="O105" s="33">
        <v>54638</v>
      </c>
      <c r="P105" s="33">
        <v>0</v>
      </c>
      <c r="Q105" s="33">
        <v>286679</v>
      </c>
      <c r="R105" s="33">
        <v>25921</v>
      </c>
      <c r="S105" s="33">
        <v>41210</v>
      </c>
      <c r="T105" s="33">
        <f>34017+3905</f>
        <v>37922</v>
      </c>
      <c r="U105" s="33">
        <v>9020</v>
      </c>
      <c r="V105" s="33">
        <v>15000</v>
      </c>
      <c r="W105" s="33">
        <v>6950</v>
      </c>
      <c r="X105" s="33">
        <v>0</v>
      </c>
      <c r="Y105" s="33">
        <f>8716+17226+7498</f>
        <v>33440</v>
      </c>
      <c r="Z105" s="33">
        <v>6087</v>
      </c>
      <c r="AA105" s="33">
        <f>4917+752</f>
        <v>5669</v>
      </c>
      <c r="AB105" s="33">
        <v>35874</v>
      </c>
      <c r="AC105" s="33">
        <v>0</v>
      </c>
      <c r="AD105" s="33">
        <v>0</v>
      </c>
      <c r="AE105" s="33">
        <v>529397</v>
      </c>
      <c r="AF105" s="31">
        <f t="shared" si="7"/>
        <v>0</v>
      </c>
      <c r="AG105" s="33">
        <v>122477</v>
      </c>
      <c r="AH105" s="33">
        <v>122177</v>
      </c>
      <c r="AI105" s="33">
        <v>300</v>
      </c>
      <c r="AJ105" s="33">
        <v>32694</v>
      </c>
      <c r="AK105" s="33">
        <v>0</v>
      </c>
      <c r="AL105" s="33">
        <v>0</v>
      </c>
      <c r="AM105" s="33">
        <v>0</v>
      </c>
      <c r="AN105" s="33">
        <v>2013</v>
      </c>
      <c r="AO105" s="33">
        <v>2048</v>
      </c>
      <c r="AP105" s="35">
        <v>2</v>
      </c>
    </row>
    <row r="106" spans="1:42">
      <c r="A106" s="5">
        <v>10</v>
      </c>
      <c r="B106" s="22" t="s">
        <v>332</v>
      </c>
      <c r="C106" s="17" t="s">
        <v>500</v>
      </c>
      <c r="D106" s="22" t="s">
        <v>326</v>
      </c>
      <c r="E106" s="22" t="s">
        <v>235</v>
      </c>
      <c r="F106" s="33">
        <v>3710989</v>
      </c>
      <c r="G106" s="33">
        <v>110519</v>
      </c>
      <c r="H106" s="33">
        <v>2390241</v>
      </c>
      <c r="I106" s="33">
        <v>117187</v>
      </c>
      <c r="J106" s="33">
        <v>560602</v>
      </c>
      <c r="K106" s="33">
        <v>3543554</v>
      </c>
      <c r="L106" s="28">
        <v>1.73</v>
      </c>
      <c r="M106" s="31">
        <f>283011/2830110</f>
        <v>0.1</v>
      </c>
      <c r="N106" s="33">
        <v>282900</v>
      </c>
      <c r="O106" s="33">
        <v>9118</v>
      </c>
      <c r="P106" s="33">
        <v>0</v>
      </c>
      <c r="Q106" s="33">
        <v>74133</v>
      </c>
      <c r="R106" s="33">
        <v>6027</v>
      </c>
      <c r="S106" s="33">
        <v>3648</v>
      </c>
      <c r="T106" s="33">
        <f>6992+2292</f>
        <v>9284</v>
      </c>
      <c r="U106" s="33">
        <v>0</v>
      </c>
      <c r="V106" s="33">
        <v>37135</v>
      </c>
      <c r="W106" s="33">
        <v>6300</v>
      </c>
      <c r="X106" s="33">
        <v>788</v>
      </c>
      <c r="Y106" s="33">
        <f>3523+8615+2397</f>
        <v>14535</v>
      </c>
      <c r="Z106" s="33">
        <v>0</v>
      </c>
      <c r="AA106" s="33">
        <f>1887+233+84</f>
        <v>2204</v>
      </c>
      <c r="AB106" s="33">
        <v>2747</v>
      </c>
      <c r="AC106" s="33">
        <v>3542</v>
      </c>
      <c r="AD106" s="33">
        <v>53685</v>
      </c>
      <c r="AE106" s="33">
        <v>168103</v>
      </c>
      <c r="AF106" s="31">
        <f t="shared" si="7"/>
        <v>0.31935777469765558</v>
      </c>
      <c r="AG106" s="33">
        <v>122177</v>
      </c>
      <c r="AH106" s="33">
        <v>122177</v>
      </c>
      <c r="AI106" s="33">
        <v>0</v>
      </c>
      <c r="AJ106" s="33">
        <v>9115</v>
      </c>
      <c r="AK106" s="33">
        <v>0</v>
      </c>
      <c r="AL106" s="33">
        <v>0</v>
      </c>
      <c r="AM106" s="33">
        <v>0</v>
      </c>
      <c r="AN106" s="33">
        <v>687</v>
      </c>
      <c r="AO106" s="33">
        <v>680</v>
      </c>
      <c r="AP106" s="35">
        <v>16</v>
      </c>
    </row>
    <row r="107" spans="1:42">
      <c r="A107" s="5">
        <v>10</v>
      </c>
      <c r="B107" s="22" t="s">
        <v>341</v>
      </c>
      <c r="C107" s="17" t="s">
        <v>428</v>
      </c>
      <c r="D107" s="22" t="s">
        <v>162</v>
      </c>
      <c r="E107" s="22" t="s">
        <v>235</v>
      </c>
      <c r="F107" s="33">
        <v>948071</v>
      </c>
      <c r="G107" s="33">
        <v>26742</v>
      </c>
      <c r="H107" s="33">
        <v>419065</v>
      </c>
      <c r="I107" s="33">
        <v>109317</v>
      </c>
      <c r="J107" s="33">
        <v>168630</v>
      </c>
      <c r="K107" s="33">
        <v>886702</v>
      </c>
      <c r="L107" s="28">
        <v>0.8</v>
      </c>
      <c r="M107" s="31">
        <f>88670/886702</f>
        <v>9.9999774445078501E-2</v>
      </c>
      <c r="N107" s="33">
        <v>88406</v>
      </c>
      <c r="O107" s="33">
        <v>620</v>
      </c>
      <c r="P107" s="33">
        <v>0</v>
      </c>
      <c r="Q107" s="33">
        <v>17661</v>
      </c>
      <c r="R107" s="33">
        <v>1399</v>
      </c>
      <c r="S107" s="33">
        <v>1880</v>
      </c>
      <c r="T107" s="33">
        <f>3000+300</f>
        <v>3300</v>
      </c>
      <c r="U107" s="33">
        <v>10900</v>
      </c>
      <c r="V107" s="33">
        <v>3073</v>
      </c>
      <c r="W107" s="33">
        <v>5250</v>
      </c>
      <c r="X107" s="33">
        <v>220</v>
      </c>
      <c r="Y107" s="33">
        <f>1691+1442+1452</f>
        <v>4585</v>
      </c>
      <c r="Z107" s="33">
        <v>416</v>
      </c>
      <c r="AA107" s="33">
        <v>0</v>
      </c>
      <c r="AB107" s="33">
        <v>3035</v>
      </c>
      <c r="AC107" s="33">
        <v>0</v>
      </c>
      <c r="AD107" s="33">
        <v>45510</v>
      </c>
      <c r="AE107" s="33">
        <v>56411</v>
      </c>
      <c r="AF107" s="31">
        <f t="shared" si="7"/>
        <v>0.80675754728687665</v>
      </c>
      <c r="AG107" s="33">
        <v>37850</v>
      </c>
      <c r="AH107" s="33">
        <v>37850</v>
      </c>
      <c r="AI107" s="33">
        <v>0</v>
      </c>
      <c r="AJ107" s="33">
        <v>0</v>
      </c>
      <c r="AK107" s="33">
        <v>0</v>
      </c>
      <c r="AL107" s="33">
        <v>0</v>
      </c>
      <c r="AM107" s="33">
        <v>0</v>
      </c>
      <c r="AN107" s="33">
        <v>232</v>
      </c>
      <c r="AO107" s="33">
        <v>181</v>
      </c>
      <c r="AP107" s="35">
        <v>0</v>
      </c>
    </row>
    <row r="108" spans="1:42">
      <c r="A108" s="5">
        <v>10</v>
      </c>
      <c r="B108" s="22" t="s">
        <v>437</v>
      </c>
      <c r="C108" s="17" t="s">
        <v>128</v>
      </c>
      <c r="D108" s="22" t="s">
        <v>272</v>
      </c>
      <c r="E108" s="22" t="s">
        <v>235</v>
      </c>
      <c r="F108" s="33">
        <v>910331</v>
      </c>
      <c r="G108" s="33">
        <v>18642</v>
      </c>
      <c r="H108" s="33">
        <v>436287</v>
      </c>
      <c r="I108" s="33">
        <v>83804</v>
      </c>
      <c r="J108" s="33">
        <v>260443</v>
      </c>
      <c r="K108" s="33">
        <v>915900</v>
      </c>
      <c r="L108" s="28">
        <v>1.34</v>
      </c>
      <c r="M108" s="31">
        <f>81617/903574</f>
        <v>9.0326857567836177E-2</v>
      </c>
      <c r="N108" s="33">
        <v>77687</v>
      </c>
      <c r="O108" s="33">
        <v>11840</v>
      </c>
      <c r="P108" s="33">
        <v>81145</v>
      </c>
      <c r="Q108" s="33">
        <v>22004</v>
      </c>
      <c r="R108" s="33">
        <v>0</v>
      </c>
      <c r="S108" s="33">
        <v>0</v>
      </c>
      <c r="T108" s="33">
        <f>6000+552</f>
        <v>6552</v>
      </c>
      <c r="U108" s="33">
        <v>0</v>
      </c>
      <c r="V108" s="33">
        <v>734</v>
      </c>
      <c r="W108" s="33">
        <v>5000</v>
      </c>
      <c r="X108" s="33">
        <v>0</v>
      </c>
      <c r="Y108" s="33">
        <f>714+5300+3145</f>
        <v>9159</v>
      </c>
      <c r="Z108" s="33">
        <v>1732</v>
      </c>
      <c r="AA108" s="33">
        <v>0</v>
      </c>
      <c r="AB108" s="33">
        <v>2000</v>
      </c>
      <c r="AC108" s="33">
        <v>5453</v>
      </c>
      <c r="AD108" s="33">
        <v>29109</v>
      </c>
      <c r="AE108" s="33">
        <v>54213</v>
      </c>
      <c r="AF108" s="31">
        <f t="shared" si="7"/>
        <v>0.53693763488462176</v>
      </c>
      <c r="AG108" s="33">
        <v>46810</v>
      </c>
      <c r="AH108" s="33">
        <v>46810</v>
      </c>
      <c r="AI108" s="33">
        <v>0</v>
      </c>
      <c r="AJ108" s="33">
        <v>3729</v>
      </c>
      <c r="AK108" s="33">
        <v>0</v>
      </c>
      <c r="AL108" s="33">
        <v>0</v>
      </c>
      <c r="AM108" s="33">
        <v>5600</v>
      </c>
      <c r="AN108" s="33">
        <v>205</v>
      </c>
      <c r="AO108" s="33">
        <v>228</v>
      </c>
      <c r="AP108" s="35">
        <v>2</v>
      </c>
    </row>
    <row r="109" spans="1:42">
      <c r="A109" s="5">
        <v>11</v>
      </c>
      <c r="B109" s="22" t="s">
        <v>98</v>
      </c>
      <c r="C109" s="17" t="s">
        <v>543</v>
      </c>
      <c r="D109" s="22" t="s">
        <v>303</v>
      </c>
      <c r="E109" s="22" t="s">
        <v>539</v>
      </c>
      <c r="F109" s="33">
        <v>3230508</v>
      </c>
      <c r="G109" s="33">
        <v>73878</v>
      </c>
      <c r="H109" s="33">
        <v>1870996</v>
      </c>
      <c r="I109" s="33">
        <v>274903</v>
      </c>
      <c r="J109" s="33">
        <v>513273</v>
      </c>
      <c r="K109" s="33">
        <v>3164234</v>
      </c>
      <c r="L109" s="28">
        <v>0.17</v>
      </c>
      <c r="M109" s="31">
        <f>300543/3163611</f>
        <v>9.499998577574803E-2</v>
      </c>
      <c r="N109" s="33">
        <v>300543</v>
      </c>
      <c r="O109" s="33">
        <v>32425</v>
      </c>
      <c r="P109" s="33">
        <v>0</v>
      </c>
      <c r="Q109" s="33">
        <v>96745</v>
      </c>
      <c r="R109" s="33">
        <v>7741</v>
      </c>
      <c r="S109" s="33">
        <v>13528</v>
      </c>
      <c r="T109" s="33">
        <f>12766+3281</f>
        <v>16047</v>
      </c>
      <c r="U109" s="33">
        <v>1176</v>
      </c>
      <c r="V109" s="33">
        <v>7800</v>
      </c>
      <c r="W109" s="33">
        <v>11250</v>
      </c>
      <c r="X109" s="33">
        <v>353</v>
      </c>
      <c r="Y109" s="33">
        <f>1713+5021+3731</f>
        <v>10465</v>
      </c>
      <c r="Z109" s="33">
        <v>2790</v>
      </c>
      <c r="AA109" s="33">
        <f>256+167</f>
        <v>423</v>
      </c>
      <c r="AB109" s="33">
        <v>12593</v>
      </c>
      <c r="AC109" s="33">
        <v>105</v>
      </c>
      <c r="AD109" s="33">
        <v>172873</v>
      </c>
      <c r="AE109" s="33">
        <v>201708</v>
      </c>
      <c r="AF109" s="31">
        <f t="shared" si="7"/>
        <v>0.85704582862355483</v>
      </c>
      <c r="AG109" s="33">
        <v>122177</v>
      </c>
      <c r="AH109" s="33">
        <v>122177</v>
      </c>
      <c r="AI109" s="33">
        <v>0</v>
      </c>
      <c r="AJ109" s="33">
        <v>17088</v>
      </c>
      <c r="AK109" s="33">
        <v>0</v>
      </c>
      <c r="AL109" s="33">
        <v>0</v>
      </c>
      <c r="AM109" s="33">
        <v>0</v>
      </c>
      <c r="AN109" s="33">
        <v>852</v>
      </c>
      <c r="AO109" s="33">
        <v>833</v>
      </c>
      <c r="AP109" s="35">
        <v>0</v>
      </c>
    </row>
    <row r="110" spans="1:42">
      <c r="A110" s="5">
        <v>11</v>
      </c>
      <c r="B110" s="22" t="s">
        <v>251</v>
      </c>
      <c r="C110" s="17" t="s">
        <v>293</v>
      </c>
      <c r="D110" s="22" t="s">
        <v>329</v>
      </c>
      <c r="E110" s="22" t="s">
        <v>539</v>
      </c>
      <c r="F110" s="33">
        <v>6653524</v>
      </c>
      <c r="G110" s="33">
        <v>149122</v>
      </c>
      <c r="H110" s="33">
        <v>3083121</v>
      </c>
      <c r="I110" s="33">
        <v>989126</v>
      </c>
      <c r="J110" s="33">
        <v>1718464</v>
      </c>
      <c r="K110" s="33">
        <v>6489260</v>
      </c>
      <c r="L110" s="28">
        <v>1</v>
      </c>
      <c r="M110" s="31">
        <f>377354/6488558</f>
        <v>5.8156835463287836E-2</v>
      </c>
      <c r="N110" s="33">
        <v>377077</v>
      </c>
      <c r="O110" s="33">
        <v>78617</v>
      </c>
      <c r="P110" s="33">
        <v>0</v>
      </c>
      <c r="Q110" s="33">
        <v>155293</v>
      </c>
      <c r="R110" s="33">
        <v>13600</v>
      </c>
      <c r="S110" s="33">
        <v>26605</v>
      </c>
      <c r="T110" s="33">
        <f>20324+1885</f>
        <v>22209</v>
      </c>
      <c r="U110" s="33">
        <v>0</v>
      </c>
      <c r="V110" s="33">
        <v>7680</v>
      </c>
      <c r="W110" s="33">
        <v>8700</v>
      </c>
      <c r="X110" s="33">
        <v>72</v>
      </c>
      <c r="Y110" s="33">
        <f>4605+13035+11045</f>
        <v>28685</v>
      </c>
      <c r="Z110" s="33">
        <v>3599</v>
      </c>
      <c r="AA110" s="33">
        <v>0</v>
      </c>
      <c r="AB110" s="33">
        <v>1168</v>
      </c>
      <c r="AC110" s="33">
        <v>6130</v>
      </c>
      <c r="AD110" s="33">
        <v>0</v>
      </c>
      <c r="AE110" s="33">
        <v>309482</v>
      </c>
      <c r="AF110" s="31">
        <f t="shared" si="7"/>
        <v>0</v>
      </c>
      <c r="AG110" s="33">
        <v>122177</v>
      </c>
      <c r="AH110" s="33">
        <v>122135</v>
      </c>
      <c r="AI110" s="33">
        <v>42</v>
      </c>
      <c r="AJ110" s="33">
        <v>44797</v>
      </c>
      <c r="AK110" s="33">
        <v>0</v>
      </c>
      <c r="AL110" s="33">
        <v>0</v>
      </c>
      <c r="AM110" s="33" t="s">
        <v>346</v>
      </c>
      <c r="AN110" s="33">
        <v>1990</v>
      </c>
      <c r="AO110" s="33">
        <v>1771</v>
      </c>
      <c r="AP110" s="35">
        <v>8</v>
      </c>
    </row>
    <row r="111" spans="1:42">
      <c r="A111" s="5">
        <v>11</v>
      </c>
      <c r="B111" s="22" t="s">
        <v>260</v>
      </c>
      <c r="C111" s="17" t="s">
        <v>505</v>
      </c>
      <c r="D111" s="22" t="s">
        <v>375</v>
      </c>
      <c r="E111" s="22" t="s">
        <v>539</v>
      </c>
      <c r="F111" s="33">
        <v>2290594</v>
      </c>
      <c r="G111" s="33">
        <v>60614</v>
      </c>
      <c r="H111" s="33">
        <v>1245613</v>
      </c>
      <c r="I111" s="33">
        <v>243530</v>
      </c>
      <c r="J111" s="33">
        <v>455554</v>
      </c>
      <c r="K111" s="33">
        <v>2247665</v>
      </c>
      <c r="L111" s="28">
        <v>1</v>
      </c>
      <c r="M111" s="31">
        <f>206195/2246957</f>
        <v>9.176633108688774E-2</v>
      </c>
      <c r="N111" s="33">
        <v>206301</v>
      </c>
      <c r="O111" s="33">
        <v>46644</v>
      </c>
      <c r="P111" s="33">
        <v>0</v>
      </c>
      <c r="Q111" s="33">
        <v>58177</v>
      </c>
      <c r="R111" s="33">
        <v>4795</v>
      </c>
      <c r="S111" s="33">
        <v>6054</v>
      </c>
      <c r="T111" s="33">
        <v>4200</v>
      </c>
      <c r="U111" s="33">
        <v>0</v>
      </c>
      <c r="V111" s="33">
        <v>15000</v>
      </c>
      <c r="W111" s="33">
        <v>5750</v>
      </c>
      <c r="X111" s="33">
        <v>0</v>
      </c>
      <c r="Y111" s="33">
        <f>3563+8043+4634</f>
        <v>16240</v>
      </c>
      <c r="Z111" s="33">
        <v>2292</v>
      </c>
      <c r="AA111" s="33">
        <v>3499</v>
      </c>
      <c r="AB111" s="33">
        <v>679</v>
      </c>
      <c r="AC111" s="33">
        <v>3783</v>
      </c>
      <c r="AD111" s="33">
        <v>19112</v>
      </c>
      <c r="AE111" s="33">
        <v>126958</v>
      </c>
      <c r="AF111" s="31">
        <f t="shared" si="7"/>
        <v>0.15053797318798343</v>
      </c>
      <c r="AG111" s="33">
        <v>112348</v>
      </c>
      <c r="AH111" s="33">
        <v>111499</v>
      </c>
      <c r="AI111" s="33">
        <v>849</v>
      </c>
      <c r="AJ111" s="33">
        <v>16957</v>
      </c>
      <c r="AK111" s="33">
        <v>0</v>
      </c>
      <c r="AL111" s="33">
        <v>0</v>
      </c>
      <c r="AM111" s="33">
        <v>0</v>
      </c>
      <c r="AN111" s="33">
        <v>599</v>
      </c>
      <c r="AO111" s="33">
        <v>624</v>
      </c>
      <c r="AP111" s="35">
        <v>4</v>
      </c>
    </row>
    <row r="112" spans="1:42">
      <c r="A112" s="5">
        <v>11</v>
      </c>
      <c r="B112" s="22" t="s">
        <v>264</v>
      </c>
      <c r="C112" s="17" t="s">
        <v>243</v>
      </c>
      <c r="D112" s="22" t="s">
        <v>295</v>
      </c>
      <c r="E112" s="22" t="s">
        <v>234</v>
      </c>
      <c r="F112" s="33">
        <v>1903074</v>
      </c>
      <c r="G112" s="33">
        <v>29517</v>
      </c>
      <c r="H112" s="33">
        <v>794314</v>
      </c>
      <c r="I112" s="33">
        <v>333869</v>
      </c>
      <c r="J112" s="33">
        <v>422550</v>
      </c>
      <c r="K112" s="33">
        <v>1848100</v>
      </c>
      <c r="L112" s="28">
        <v>0.85</v>
      </c>
      <c r="M112" s="31">
        <v>0.1</v>
      </c>
      <c r="N112" s="33">
        <v>185540</v>
      </c>
      <c r="O112" s="33">
        <v>1333</v>
      </c>
      <c r="P112" s="33">
        <v>0</v>
      </c>
      <c r="Q112" s="33">
        <v>66886</v>
      </c>
      <c r="R112" s="33">
        <v>6610</v>
      </c>
      <c r="S112" s="33">
        <v>4364</v>
      </c>
      <c r="T112" s="33">
        <f>6781+834</f>
        <v>7615</v>
      </c>
      <c r="U112" s="33">
        <v>595</v>
      </c>
      <c r="V112" s="33">
        <v>14477</v>
      </c>
      <c r="W112" s="33">
        <v>4700</v>
      </c>
      <c r="X112" s="33">
        <v>0</v>
      </c>
      <c r="Y112" s="33">
        <f>1904+3050+2023</f>
        <v>6977</v>
      </c>
      <c r="Z112" s="33">
        <v>46</v>
      </c>
      <c r="AA112" s="33">
        <f>884+213+27+74</f>
        <v>1198</v>
      </c>
      <c r="AB112" s="33">
        <v>2954</v>
      </c>
      <c r="AC112" s="33">
        <v>7004</v>
      </c>
      <c r="AD112" s="33">
        <v>24336</v>
      </c>
      <c r="AE112" s="33">
        <v>129580</v>
      </c>
      <c r="AF112" s="31">
        <v>0.18779999999999999</v>
      </c>
      <c r="AG112" s="33">
        <v>60963</v>
      </c>
      <c r="AH112" s="33">
        <v>60963</v>
      </c>
      <c r="AI112" s="33">
        <v>0</v>
      </c>
      <c r="AJ112" s="33">
        <v>429</v>
      </c>
      <c r="AK112" s="33">
        <v>0</v>
      </c>
      <c r="AL112" s="33">
        <v>0</v>
      </c>
      <c r="AM112" s="33">
        <v>0</v>
      </c>
      <c r="AN112" s="33">
        <v>522</v>
      </c>
      <c r="AO112" s="33">
        <v>700</v>
      </c>
      <c r="AP112" s="35">
        <v>2</v>
      </c>
    </row>
    <row r="113" spans="1:42">
      <c r="A113" s="5">
        <v>11</v>
      </c>
      <c r="B113" s="22" t="s">
        <v>313</v>
      </c>
      <c r="C113" s="17" t="s">
        <v>240</v>
      </c>
      <c r="D113" s="22" t="s">
        <v>100</v>
      </c>
      <c r="E113" s="22" t="s">
        <v>234</v>
      </c>
      <c r="F113" s="33">
        <v>32153407</v>
      </c>
      <c r="G113" s="33">
        <v>1258651</v>
      </c>
      <c r="H113" s="33">
        <v>18350549</v>
      </c>
      <c r="I113" s="33">
        <v>1576587</v>
      </c>
      <c r="J113" s="33">
        <v>6827961</v>
      </c>
      <c r="K113" s="33">
        <v>30701323</v>
      </c>
      <c r="L113" s="28">
        <v>1.1200000000000001</v>
      </c>
      <c r="M113" s="31">
        <f>2168125/30783384</f>
        <v>7.0431665342575722E-2</v>
      </c>
      <c r="N113" s="33">
        <v>2153104</v>
      </c>
      <c r="O113" s="33">
        <v>200252</v>
      </c>
      <c r="P113" s="33">
        <v>0</v>
      </c>
      <c r="Q113" s="33">
        <v>836529</v>
      </c>
      <c r="R113" s="33">
        <v>71322</v>
      </c>
      <c r="S113" s="33">
        <v>168468</v>
      </c>
      <c r="T113" s="33">
        <f>270042+13390</f>
        <v>283432</v>
      </c>
      <c r="U113" s="33">
        <v>0</v>
      </c>
      <c r="V113" s="33">
        <v>183751</v>
      </c>
      <c r="W113" s="33">
        <v>14450</v>
      </c>
      <c r="X113" s="33">
        <v>48555</v>
      </c>
      <c r="Y113" s="33">
        <f>16662+63551+40949</f>
        <v>121162</v>
      </c>
      <c r="Z113" s="33">
        <v>26853</v>
      </c>
      <c r="AA113" s="33">
        <v>0</v>
      </c>
      <c r="AB113" s="33">
        <v>0</v>
      </c>
      <c r="AC113" s="33">
        <v>64752</v>
      </c>
      <c r="AD113" s="33">
        <v>130247</v>
      </c>
      <c r="AE113" s="33">
        <v>1954684</v>
      </c>
      <c r="AF113" s="31">
        <f t="shared" ref="AF113:AF148" si="8">IF(AE113=0,0,AD113/AE113)</f>
        <v>6.6633276785403678E-2</v>
      </c>
      <c r="AG113" s="33">
        <v>122177</v>
      </c>
      <c r="AH113" s="33">
        <v>122177</v>
      </c>
      <c r="AI113" s="33">
        <v>0</v>
      </c>
      <c r="AJ113" s="33">
        <v>279022</v>
      </c>
      <c r="AK113" s="33">
        <v>0</v>
      </c>
      <c r="AL113" s="33">
        <v>0</v>
      </c>
      <c r="AM113" s="33">
        <v>0</v>
      </c>
      <c r="AN113" s="33">
        <v>7040</v>
      </c>
      <c r="AO113" s="33">
        <v>7370</v>
      </c>
      <c r="AP113" s="35">
        <v>26</v>
      </c>
    </row>
    <row r="114" spans="1:42">
      <c r="A114" s="5">
        <v>11</v>
      </c>
      <c r="B114" s="22" t="s">
        <v>390</v>
      </c>
      <c r="C114" s="17" t="s">
        <v>120</v>
      </c>
      <c r="D114" s="22" t="s">
        <v>100</v>
      </c>
      <c r="E114" s="22" t="s">
        <v>234</v>
      </c>
      <c r="F114" s="33">
        <v>30965976</v>
      </c>
      <c r="G114" s="33">
        <v>1075393</v>
      </c>
      <c r="H114" s="33">
        <v>17959450</v>
      </c>
      <c r="I114" s="33">
        <v>1380422</v>
      </c>
      <c r="J114" s="33">
        <v>6093870</v>
      </c>
      <c r="K114" s="33">
        <v>29178404</v>
      </c>
      <c r="L114" s="28">
        <v>0.6</v>
      </c>
      <c r="M114" s="31">
        <f>1921941/29180536</f>
        <v>6.5863800445612103E-2</v>
      </c>
      <c r="N114" s="33">
        <v>1918683</v>
      </c>
      <c r="O114" s="33">
        <v>539224</v>
      </c>
      <c r="P114" s="33">
        <v>0</v>
      </c>
      <c r="Q114" s="33">
        <v>972569</v>
      </c>
      <c r="R114" s="33">
        <v>81131</v>
      </c>
      <c r="S114" s="33">
        <v>339101</v>
      </c>
      <c r="T114" s="33">
        <f>171284+8939</f>
        <v>180223</v>
      </c>
      <c r="U114" s="33">
        <v>7795</v>
      </c>
      <c r="V114" s="33">
        <v>19956</v>
      </c>
      <c r="W114" s="33">
        <v>15650</v>
      </c>
      <c r="X114" s="33">
        <v>260</v>
      </c>
      <c r="Y114" s="33">
        <f>17164+71559+39063</f>
        <v>127786</v>
      </c>
      <c r="Z114" s="33">
        <v>9003</v>
      </c>
      <c r="AA114" s="33">
        <f>1585+2383</f>
        <v>3968</v>
      </c>
      <c r="AB114" s="33">
        <v>3282</v>
      </c>
      <c r="AC114" s="33">
        <v>31349</v>
      </c>
      <c r="AD114" s="33">
        <v>82393</v>
      </c>
      <c r="AE114" s="33">
        <v>1888277</v>
      </c>
      <c r="AF114" s="31">
        <f t="shared" si="8"/>
        <v>4.3633958365218661E-2</v>
      </c>
      <c r="AG114" s="33">
        <v>122135</v>
      </c>
      <c r="AH114" s="33">
        <v>122135</v>
      </c>
      <c r="AI114" s="33">
        <v>0</v>
      </c>
      <c r="AJ114" s="33">
        <v>275877</v>
      </c>
      <c r="AK114" s="33">
        <v>0</v>
      </c>
      <c r="AL114" s="33">
        <v>0</v>
      </c>
      <c r="AM114" s="33">
        <v>0</v>
      </c>
      <c r="AN114" s="33">
        <v>7092</v>
      </c>
      <c r="AO114" s="33">
        <v>7159</v>
      </c>
      <c r="AP114" s="35">
        <v>54</v>
      </c>
    </row>
    <row r="115" spans="1:42">
      <c r="A115" s="5">
        <v>12</v>
      </c>
      <c r="B115" s="22" t="s">
        <v>32</v>
      </c>
      <c r="C115" s="17" t="s">
        <v>392</v>
      </c>
      <c r="D115" s="22" t="s">
        <v>331</v>
      </c>
      <c r="E115" s="22" t="s">
        <v>351</v>
      </c>
      <c r="F115" s="33">
        <v>161099</v>
      </c>
      <c r="G115" s="33">
        <v>40</v>
      </c>
      <c r="H115" s="33">
        <v>54505</v>
      </c>
      <c r="I115" s="33">
        <v>29160</v>
      </c>
      <c r="J115" s="33">
        <v>60794</v>
      </c>
      <c r="K115" s="33">
        <v>165914</v>
      </c>
      <c r="L115" s="28">
        <v>0.25</v>
      </c>
      <c r="M115" s="31">
        <f>14869/148694</f>
        <v>9.9997309911630597E-2</v>
      </c>
      <c r="N115" s="33">
        <v>16020</v>
      </c>
      <c r="O115" s="33">
        <v>0</v>
      </c>
      <c r="P115" s="33">
        <v>0</v>
      </c>
      <c r="Q115" s="33">
        <v>1250</v>
      </c>
      <c r="R115" s="33">
        <v>0</v>
      </c>
      <c r="S115" s="33">
        <v>0</v>
      </c>
      <c r="T115" s="33">
        <f>480+60</f>
        <v>540</v>
      </c>
      <c r="U115" s="33">
        <v>4500</v>
      </c>
      <c r="V115" s="33">
        <v>438</v>
      </c>
      <c r="W115" s="33">
        <v>0</v>
      </c>
      <c r="X115" s="33">
        <v>0</v>
      </c>
      <c r="Y115" s="33">
        <f>240+625+9</f>
        <v>874</v>
      </c>
      <c r="Z115" s="33">
        <v>0</v>
      </c>
      <c r="AA115" s="33">
        <f>471+87+41</f>
        <v>599</v>
      </c>
      <c r="AB115" s="33">
        <v>102</v>
      </c>
      <c r="AC115" s="33">
        <v>0</v>
      </c>
      <c r="AD115" s="33">
        <v>3904</v>
      </c>
      <c r="AE115" s="33">
        <v>8739</v>
      </c>
      <c r="AF115" s="31">
        <f t="shared" si="8"/>
        <v>0.44673303581645496</v>
      </c>
      <c r="AG115" s="33">
        <v>8600</v>
      </c>
      <c r="AH115" s="33">
        <v>8600</v>
      </c>
      <c r="AI115" s="33">
        <v>0</v>
      </c>
      <c r="AJ115" s="33">
        <v>138</v>
      </c>
      <c r="AK115" s="33">
        <v>0</v>
      </c>
      <c r="AL115" s="33">
        <v>0</v>
      </c>
      <c r="AM115" s="33">
        <v>0</v>
      </c>
      <c r="AN115" s="33">
        <v>35</v>
      </c>
      <c r="AO115" s="33">
        <v>26</v>
      </c>
      <c r="AP115" s="35">
        <v>0</v>
      </c>
    </row>
    <row r="116" spans="1:42">
      <c r="A116" s="5">
        <v>12</v>
      </c>
      <c r="B116" s="22" t="s">
        <v>83</v>
      </c>
      <c r="C116" s="17" t="s">
        <v>189</v>
      </c>
      <c r="D116" s="22" t="s">
        <v>337</v>
      </c>
      <c r="E116" s="22" t="s">
        <v>333</v>
      </c>
      <c r="F116" s="33">
        <v>132522.75</v>
      </c>
      <c r="G116" s="33">
        <v>277.83</v>
      </c>
      <c r="H116" s="33">
        <v>62624.94</v>
      </c>
      <c r="I116" s="33">
        <v>34555.39</v>
      </c>
      <c r="J116" s="33">
        <v>32911.129999999997</v>
      </c>
      <c r="K116" s="33">
        <v>148506.84</v>
      </c>
      <c r="L116" s="28">
        <v>0</v>
      </c>
      <c r="M116" s="31">
        <v>0.1</v>
      </c>
      <c r="N116" s="33">
        <v>14839.38</v>
      </c>
      <c r="O116" s="33">
        <v>0</v>
      </c>
      <c r="P116" s="33">
        <v>0</v>
      </c>
      <c r="Q116" s="33">
        <v>2471.8200000000002</v>
      </c>
      <c r="R116" s="33">
        <v>0</v>
      </c>
      <c r="S116" s="33">
        <v>1665.99</v>
      </c>
      <c r="T116" s="33">
        <f>442.68+170.72</f>
        <v>613.4</v>
      </c>
      <c r="U116" s="33">
        <v>0</v>
      </c>
      <c r="V116" s="33">
        <v>0</v>
      </c>
      <c r="W116" s="33">
        <v>0</v>
      </c>
      <c r="X116" s="33">
        <v>0</v>
      </c>
      <c r="Y116" s="33">
        <f>204.38+206.5+130.69</f>
        <v>541.56999999999994</v>
      </c>
      <c r="Z116" s="33">
        <v>0</v>
      </c>
      <c r="AA116" s="33">
        <v>19.47</v>
      </c>
      <c r="AB116" s="33">
        <v>0</v>
      </c>
      <c r="AC116" s="33">
        <v>0</v>
      </c>
      <c r="AD116" s="33">
        <v>6007.6</v>
      </c>
      <c r="AE116" s="33">
        <v>6007.6</v>
      </c>
      <c r="AF116" s="31">
        <f t="shared" si="8"/>
        <v>1</v>
      </c>
      <c r="AG116" s="33">
        <v>6418.75</v>
      </c>
      <c r="AH116" s="33">
        <v>6555.15</v>
      </c>
      <c r="AI116" s="33">
        <v>0</v>
      </c>
      <c r="AJ116" s="33">
        <v>0</v>
      </c>
      <c r="AK116" s="33">
        <v>0</v>
      </c>
      <c r="AL116" s="33">
        <v>0</v>
      </c>
      <c r="AM116" s="33">
        <v>0</v>
      </c>
      <c r="AN116" s="33">
        <v>0</v>
      </c>
      <c r="AO116" s="33">
        <v>132</v>
      </c>
      <c r="AP116" s="35">
        <v>0</v>
      </c>
    </row>
    <row r="117" spans="1:42">
      <c r="A117" s="5">
        <v>12</v>
      </c>
      <c r="B117" s="22" t="s">
        <v>146</v>
      </c>
      <c r="C117" s="17" t="s">
        <v>87</v>
      </c>
      <c r="D117" s="22" t="s">
        <v>532</v>
      </c>
      <c r="E117" s="22" t="s">
        <v>232</v>
      </c>
      <c r="F117" s="33">
        <v>458976</v>
      </c>
      <c r="G117" s="33">
        <v>9399</v>
      </c>
      <c r="H117" s="33">
        <v>161978</v>
      </c>
      <c r="I117" s="33">
        <v>110302</v>
      </c>
      <c r="J117" s="33">
        <v>92267</v>
      </c>
      <c r="K117" s="33">
        <v>438713</v>
      </c>
      <c r="L117" s="28">
        <v>2</v>
      </c>
      <c r="M117" s="31">
        <f>43559/435593</f>
        <v>9.9999311283698308E-2</v>
      </c>
      <c r="N117" s="33">
        <v>43497</v>
      </c>
      <c r="O117" s="33">
        <v>1</v>
      </c>
      <c r="P117" s="33">
        <v>0</v>
      </c>
      <c r="Q117" s="33">
        <v>13920</v>
      </c>
      <c r="R117" s="33">
        <v>1503</v>
      </c>
      <c r="S117" s="33">
        <v>814</v>
      </c>
      <c r="T117" s="33">
        <v>4207</v>
      </c>
      <c r="U117" s="33">
        <v>563</v>
      </c>
      <c r="V117" s="33">
        <v>10343</v>
      </c>
      <c r="W117" s="33">
        <v>0</v>
      </c>
      <c r="X117" s="33">
        <v>0</v>
      </c>
      <c r="Y117" s="33">
        <f>1547+1592+736</f>
        <v>3875</v>
      </c>
      <c r="Z117" s="33">
        <v>759</v>
      </c>
      <c r="AA117" s="33">
        <f>2369+14+9+201</f>
        <v>2593</v>
      </c>
      <c r="AB117" s="33">
        <v>1200</v>
      </c>
      <c r="AC117" s="33">
        <v>0</v>
      </c>
      <c r="AD117" s="33">
        <v>19896</v>
      </c>
      <c r="AE117" s="33">
        <v>41071</v>
      </c>
      <c r="AF117" s="31">
        <f t="shared" si="8"/>
        <v>0.48442940274159385</v>
      </c>
      <c r="AG117" s="33">
        <v>856</v>
      </c>
      <c r="AH117" s="33">
        <v>6899</v>
      </c>
      <c r="AI117" s="33">
        <v>0</v>
      </c>
      <c r="AJ117" s="33">
        <v>0</v>
      </c>
      <c r="AK117" s="33">
        <v>0</v>
      </c>
      <c r="AL117" s="33">
        <v>0</v>
      </c>
      <c r="AM117" s="33">
        <v>0</v>
      </c>
      <c r="AN117" s="33">
        <v>211</v>
      </c>
      <c r="AO117" s="33">
        <v>243</v>
      </c>
      <c r="AP117" s="35">
        <v>5</v>
      </c>
    </row>
    <row r="118" spans="1:42">
      <c r="A118" s="5">
        <v>12</v>
      </c>
      <c r="B118" s="22" t="s">
        <v>327</v>
      </c>
      <c r="C118" s="17" t="s">
        <v>239</v>
      </c>
      <c r="D118" s="22" t="s">
        <v>330</v>
      </c>
      <c r="E118" s="22" t="s">
        <v>333</v>
      </c>
      <c r="F118" s="33">
        <v>29855683</v>
      </c>
      <c r="G118" s="33">
        <v>795872</v>
      </c>
      <c r="H118" s="33">
        <v>11499736</v>
      </c>
      <c r="I118" s="33">
        <v>4929556</v>
      </c>
      <c r="J118" s="33">
        <v>9050015</v>
      </c>
      <c r="K118" s="33">
        <v>28898593</v>
      </c>
      <c r="L118" s="28">
        <v>1.45</v>
      </c>
      <c r="M118" s="31">
        <f>1044557/27854854</f>
        <v>3.7499999102490363E-2</v>
      </c>
      <c r="N118" s="33">
        <v>1042789</v>
      </c>
      <c r="O118" s="33">
        <v>175677</v>
      </c>
      <c r="P118" s="33">
        <v>0</v>
      </c>
      <c r="Q118" s="33">
        <v>535092</v>
      </c>
      <c r="R118" s="33">
        <v>43670</v>
      </c>
      <c r="S118" s="33">
        <v>160999</v>
      </c>
      <c r="T118" s="33">
        <v>78957</v>
      </c>
      <c r="U118" s="33">
        <v>13670</v>
      </c>
      <c r="V118" s="33">
        <v>33791</v>
      </c>
      <c r="W118" s="33">
        <v>11000</v>
      </c>
      <c r="X118" s="33">
        <v>0</v>
      </c>
      <c r="Y118" s="33">
        <f>23291+32000+30204</f>
        <v>85495</v>
      </c>
      <c r="Z118" s="33">
        <v>0</v>
      </c>
      <c r="AA118" s="33">
        <v>0</v>
      </c>
      <c r="AB118" s="33">
        <v>14270</v>
      </c>
      <c r="AC118" s="33">
        <v>7015</v>
      </c>
      <c r="AD118" s="33">
        <v>35474</v>
      </c>
      <c r="AE118" s="33">
        <v>1009579</v>
      </c>
      <c r="AF118" s="31">
        <f t="shared" si="8"/>
        <v>3.5137418666592708E-2</v>
      </c>
      <c r="AG118" s="33">
        <v>122425</v>
      </c>
      <c r="AH118" s="33">
        <v>122177</v>
      </c>
      <c r="AI118" s="33">
        <v>248</v>
      </c>
      <c r="AJ118" s="33">
        <v>159152</v>
      </c>
      <c r="AK118" s="33">
        <v>0</v>
      </c>
      <c r="AL118" s="33">
        <v>0</v>
      </c>
      <c r="AM118" s="33">
        <v>0</v>
      </c>
      <c r="AN118" s="33">
        <v>9896</v>
      </c>
      <c r="AO118" s="33">
        <v>10267</v>
      </c>
      <c r="AP118" s="35">
        <v>145</v>
      </c>
    </row>
    <row r="119" spans="1:42">
      <c r="A119" s="5">
        <v>12</v>
      </c>
      <c r="B119" s="22" t="s">
        <v>529</v>
      </c>
      <c r="C119" s="17" t="s">
        <v>16</v>
      </c>
      <c r="D119" s="22" t="s">
        <v>139</v>
      </c>
      <c r="E119" s="22" t="s">
        <v>232</v>
      </c>
      <c r="F119" s="33">
        <v>4334764</v>
      </c>
      <c r="G119" s="33">
        <v>39893</v>
      </c>
      <c r="H119" s="33">
        <v>2173565</v>
      </c>
      <c r="I119" s="33">
        <v>404190</v>
      </c>
      <c r="J119" s="33">
        <v>1015117</v>
      </c>
      <c r="K119" s="33">
        <v>4270890</v>
      </c>
      <c r="L119" s="28">
        <v>1</v>
      </c>
      <c r="M119" s="31">
        <f>384425/4264013</f>
        <v>9.0155681983145927E-2</v>
      </c>
      <c r="N119" s="33">
        <v>384411</v>
      </c>
      <c r="O119" s="33">
        <v>51863</v>
      </c>
      <c r="P119" s="33">
        <v>0</v>
      </c>
      <c r="Q119" s="33">
        <v>148230</v>
      </c>
      <c r="R119" s="33">
        <v>12122</v>
      </c>
      <c r="S119" s="33">
        <v>42519</v>
      </c>
      <c r="T119" s="33">
        <f>23760+816</f>
        <v>24576</v>
      </c>
      <c r="U119" s="33">
        <v>0</v>
      </c>
      <c r="V119" s="33">
        <v>4002</v>
      </c>
      <c r="W119" s="33">
        <v>5750</v>
      </c>
      <c r="X119" s="33">
        <v>0</v>
      </c>
      <c r="Y119" s="33">
        <f>2877+8400+6218</f>
        <v>17495</v>
      </c>
      <c r="Z119" s="33">
        <v>5341</v>
      </c>
      <c r="AA119" s="33">
        <f>3963+1510+1062+870</f>
        <v>7405</v>
      </c>
      <c r="AB119" s="33">
        <v>869</v>
      </c>
      <c r="AC119" s="33">
        <v>2891</v>
      </c>
      <c r="AD119" s="33">
        <v>0</v>
      </c>
      <c r="AE119" s="33">
        <v>279532</v>
      </c>
      <c r="AF119" s="31">
        <f t="shared" si="8"/>
        <v>0</v>
      </c>
      <c r="AG119" s="33">
        <v>122177</v>
      </c>
      <c r="AH119" s="33">
        <v>122177</v>
      </c>
      <c r="AI119" s="33">
        <v>0</v>
      </c>
      <c r="AJ119" s="33">
        <v>40885</v>
      </c>
      <c r="AK119" s="33">
        <v>0</v>
      </c>
      <c r="AL119" s="33">
        <v>0</v>
      </c>
      <c r="AM119" s="33">
        <v>0</v>
      </c>
      <c r="AN119" s="33">
        <v>1058</v>
      </c>
      <c r="AO119" s="33">
        <v>1099</v>
      </c>
      <c r="AP119" s="35">
        <v>0</v>
      </c>
    </row>
    <row r="120" spans="1:42">
      <c r="A120" s="5">
        <v>12</v>
      </c>
      <c r="B120" s="22" t="s">
        <v>552</v>
      </c>
      <c r="C120" s="17" t="s">
        <v>425</v>
      </c>
      <c r="D120" s="22" t="s">
        <v>473</v>
      </c>
      <c r="E120" s="22" t="s">
        <v>461</v>
      </c>
      <c r="F120" s="33">
        <v>1450331</v>
      </c>
      <c r="G120" s="33">
        <v>9902</v>
      </c>
      <c r="H120" s="33">
        <v>516772</v>
      </c>
      <c r="I120" s="33">
        <v>225229</v>
      </c>
      <c r="J120" s="33">
        <v>353397</v>
      </c>
      <c r="K120" s="33">
        <v>1255141</v>
      </c>
      <c r="L120" s="28">
        <v>1</v>
      </c>
      <c r="M120" s="31">
        <f>114098/1140984</f>
        <v>9.9999649425408246E-2</v>
      </c>
      <c r="N120" s="33">
        <v>113919</v>
      </c>
      <c r="O120" s="33">
        <v>0</v>
      </c>
      <c r="P120" s="33">
        <v>2379</v>
      </c>
      <c r="Q120" s="33">
        <v>23059</v>
      </c>
      <c r="R120" s="33">
        <v>1764</v>
      </c>
      <c r="S120" s="33">
        <v>1573</v>
      </c>
      <c r="T120" s="33">
        <v>8154</v>
      </c>
      <c r="U120" s="33">
        <v>191</v>
      </c>
      <c r="V120" s="33">
        <v>2225</v>
      </c>
      <c r="W120" s="33">
        <v>6278</v>
      </c>
      <c r="X120" s="33">
        <v>0</v>
      </c>
      <c r="Y120" s="33">
        <f>2269+2959+2169</f>
        <v>7397</v>
      </c>
      <c r="Z120" s="33">
        <v>500</v>
      </c>
      <c r="AA120" s="33">
        <f>4456+1144+763+114</f>
        <v>6477</v>
      </c>
      <c r="AB120" s="33">
        <v>349</v>
      </c>
      <c r="AC120" s="33">
        <v>1221</v>
      </c>
      <c r="AD120" s="33">
        <v>54317</v>
      </c>
      <c r="AE120" s="33">
        <v>64899</v>
      </c>
      <c r="AF120" s="31">
        <f t="shared" si="8"/>
        <v>0.83694664016394704</v>
      </c>
      <c r="AG120" s="33">
        <v>51195</v>
      </c>
      <c r="AH120" s="33">
        <v>51195</v>
      </c>
      <c r="AI120" s="33">
        <v>0</v>
      </c>
      <c r="AJ120" s="33">
        <v>0</v>
      </c>
      <c r="AK120" s="33">
        <v>0</v>
      </c>
      <c r="AL120" s="33">
        <v>0</v>
      </c>
      <c r="AM120" s="33">
        <v>0</v>
      </c>
      <c r="AN120" s="33">
        <v>272</v>
      </c>
      <c r="AO120" s="33">
        <v>293</v>
      </c>
      <c r="AP120" s="35">
        <v>0</v>
      </c>
    </row>
    <row r="121" spans="1:42">
      <c r="A121" s="5">
        <v>13</v>
      </c>
      <c r="B121" s="22" t="s">
        <v>169</v>
      </c>
      <c r="C121" s="17" t="s">
        <v>422</v>
      </c>
      <c r="D121" s="22" t="s">
        <v>254</v>
      </c>
      <c r="E121" s="22" t="s">
        <v>334</v>
      </c>
      <c r="F121" s="33">
        <v>9650611</v>
      </c>
      <c r="G121" s="33">
        <v>344299</v>
      </c>
      <c r="H121" s="33">
        <v>4949092</v>
      </c>
      <c r="I121" s="33">
        <v>815785</v>
      </c>
      <c r="J121" s="33">
        <v>2323645</v>
      </c>
      <c r="K121" s="33">
        <v>9254716</v>
      </c>
      <c r="L121" s="28">
        <v>2</v>
      </c>
      <c r="M121" s="31">
        <f>749715/9292146</f>
        <v>8.0682653931610629E-2</v>
      </c>
      <c r="N121" s="33">
        <v>628408</v>
      </c>
      <c r="O121" s="33">
        <v>110289</v>
      </c>
      <c r="P121" s="33">
        <v>0</v>
      </c>
      <c r="Q121" s="33">
        <v>298608</v>
      </c>
      <c r="R121" s="33">
        <v>25952</v>
      </c>
      <c r="S121" s="33">
        <v>64675</v>
      </c>
      <c r="T121" s="33">
        <v>42236</v>
      </c>
      <c r="U121" s="33">
        <v>8532</v>
      </c>
      <c r="V121" s="33">
        <v>1200</v>
      </c>
      <c r="W121" s="33">
        <v>8700</v>
      </c>
      <c r="X121" s="33">
        <v>0</v>
      </c>
      <c r="Y121" s="33">
        <f>8185+19446+12298</f>
        <v>39929</v>
      </c>
      <c r="Z121" s="33">
        <v>3853</v>
      </c>
      <c r="AA121" s="33">
        <f>2021+1468</f>
        <v>3489</v>
      </c>
      <c r="AB121" s="33">
        <v>-876</v>
      </c>
      <c r="AC121" s="33">
        <v>13581</v>
      </c>
      <c r="AD121" s="33">
        <v>70327</v>
      </c>
      <c r="AE121" s="33">
        <v>559282</v>
      </c>
      <c r="AF121" s="31">
        <f t="shared" si="8"/>
        <v>0.12574515181965448</v>
      </c>
      <c r="AG121" s="33">
        <v>122177</v>
      </c>
      <c r="AH121" s="33">
        <v>122177</v>
      </c>
      <c r="AI121" s="33">
        <v>0</v>
      </c>
      <c r="AJ121" s="33">
        <v>76409</v>
      </c>
      <c r="AK121" s="33">
        <v>0</v>
      </c>
      <c r="AL121" s="33">
        <v>0</v>
      </c>
      <c r="AM121" s="33">
        <v>0</v>
      </c>
      <c r="AN121" s="33">
        <v>2027</v>
      </c>
      <c r="AO121" s="33">
        <v>2087</v>
      </c>
      <c r="AP121" s="35">
        <v>1</v>
      </c>
    </row>
    <row r="122" spans="1:42">
      <c r="A122" s="5">
        <v>13</v>
      </c>
      <c r="B122" s="22" t="s">
        <v>270</v>
      </c>
      <c r="C122" s="17" t="s">
        <v>249</v>
      </c>
      <c r="D122" s="22" t="s">
        <v>261</v>
      </c>
      <c r="E122" s="22" t="s">
        <v>334</v>
      </c>
      <c r="F122" s="33">
        <v>29824948</v>
      </c>
      <c r="G122" s="33">
        <v>576726</v>
      </c>
      <c r="H122" s="33">
        <v>16296075</v>
      </c>
      <c r="I122" s="33">
        <v>1445311</v>
      </c>
      <c r="J122" s="33">
        <v>8340344</v>
      </c>
      <c r="K122" s="33">
        <v>29400321</v>
      </c>
      <c r="L122" s="28">
        <v>0.5</v>
      </c>
      <c r="M122" s="31">
        <f>982627/28763863</f>
        <v>3.4161857883970595E-2</v>
      </c>
      <c r="N122" s="33">
        <v>982627</v>
      </c>
      <c r="O122" s="33">
        <v>150153</v>
      </c>
      <c r="P122" s="33">
        <v>0</v>
      </c>
      <c r="Q122" s="33">
        <v>482514</v>
      </c>
      <c r="R122" s="33">
        <v>44729</v>
      </c>
      <c r="S122" s="33">
        <v>109714</v>
      </c>
      <c r="T122" s="33">
        <v>116942</v>
      </c>
      <c r="U122" s="33">
        <v>12237</v>
      </c>
      <c r="V122" s="33">
        <v>29713</v>
      </c>
      <c r="W122" s="33">
        <v>5750</v>
      </c>
      <c r="X122" s="33">
        <v>0</v>
      </c>
      <c r="Y122" s="33">
        <f>10477+60106+30351</f>
        <v>100934</v>
      </c>
      <c r="Z122" s="33">
        <v>9443</v>
      </c>
      <c r="AA122" s="33">
        <v>3577</v>
      </c>
      <c r="AB122" s="33">
        <v>1375</v>
      </c>
      <c r="AC122" s="33">
        <v>17412</v>
      </c>
      <c r="AD122" s="33">
        <v>74444</v>
      </c>
      <c r="AE122" s="33">
        <v>996844</v>
      </c>
      <c r="AF122" s="31">
        <f t="shared" si="8"/>
        <v>7.4679689098795798E-2</v>
      </c>
      <c r="AG122" s="33">
        <v>122177</v>
      </c>
      <c r="AH122" s="33">
        <v>122177</v>
      </c>
      <c r="AI122" s="33">
        <v>0</v>
      </c>
      <c r="AJ122" s="33">
        <v>145335</v>
      </c>
      <c r="AK122" s="33">
        <v>0</v>
      </c>
      <c r="AL122" s="33">
        <v>0</v>
      </c>
      <c r="AM122" s="33">
        <v>0</v>
      </c>
      <c r="AN122" s="33">
        <v>8254</v>
      </c>
      <c r="AO122" s="33">
        <v>8726</v>
      </c>
      <c r="AP122" s="35">
        <v>18</v>
      </c>
    </row>
    <row r="123" spans="1:42">
      <c r="A123" s="5">
        <v>13</v>
      </c>
      <c r="B123" s="22" t="s">
        <v>278</v>
      </c>
      <c r="C123" s="17" t="s">
        <v>255</v>
      </c>
      <c r="D123" s="22" t="s">
        <v>372</v>
      </c>
      <c r="E123" s="22" t="s">
        <v>352</v>
      </c>
      <c r="F123" s="33">
        <v>7422241</v>
      </c>
      <c r="G123" s="33">
        <v>234167</v>
      </c>
      <c r="H123" s="33">
        <v>4090245</v>
      </c>
      <c r="I123" s="33">
        <v>593656</v>
      </c>
      <c r="J123" s="33">
        <v>1421003</v>
      </c>
      <c r="K123" s="33">
        <v>7456662</v>
      </c>
      <c r="L123" s="28">
        <v>1</v>
      </c>
      <c r="M123" s="31">
        <f>597752/7471894</f>
        <v>8.0000064240740035E-2</v>
      </c>
      <c r="N123" s="33">
        <v>595593</v>
      </c>
      <c r="O123" s="33">
        <v>89716</v>
      </c>
      <c r="P123" s="33">
        <v>4110</v>
      </c>
      <c r="Q123" s="33">
        <v>275915</v>
      </c>
      <c r="R123" s="33">
        <v>22165</v>
      </c>
      <c r="S123" s="33">
        <v>25870</v>
      </c>
      <c r="T123" s="33">
        <f>40122+2427</f>
        <v>42549</v>
      </c>
      <c r="U123" s="33">
        <v>3087</v>
      </c>
      <c r="V123" s="33">
        <v>1604</v>
      </c>
      <c r="W123" s="33">
        <v>6950</v>
      </c>
      <c r="X123" s="33">
        <v>1915</v>
      </c>
      <c r="Y123" s="33">
        <f>10479+12739+22939</f>
        <v>46157</v>
      </c>
      <c r="Z123" s="33">
        <v>5697</v>
      </c>
      <c r="AA123" s="33">
        <f>5561+188+89</f>
        <v>5838</v>
      </c>
      <c r="AB123" s="33">
        <v>0</v>
      </c>
      <c r="AC123" s="33">
        <v>900</v>
      </c>
      <c r="AD123" s="33">
        <v>2741</v>
      </c>
      <c r="AE123" s="33">
        <v>518278</v>
      </c>
      <c r="AF123" s="31">
        <f t="shared" si="8"/>
        <v>5.2886674718973219E-3</v>
      </c>
      <c r="AG123" s="33">
        <v>122177</v>
      </c>
      <c r="AH123" s="33">
        <v>122177</v>
      </c>
      <c r="AI123" s="33">
        <v>0</v>
      </c>
      <c r="AJ123" s="33">
        <v>70379</v>
      </c>
      <c r="AK123" s="33">
        <v>0</v>
      </c>
      <c r="AL123" s="33">
        <v>0</v>
      </c>
      <c r="AM123" s="33">
        <v>0</v>
      </c>
      <c r="AN123" s="33">
        <v>2468</v>
      </c>
      <c r="AO123" s="33">
        <v>3031</v>
      </c>
      <c r="AP123" s="35">
        <v>6</v>
      </c>
    </row>
    <row r="124" spans="1:42">
      <c r="A124" s="5">
        <v>13</v>
      </c>
      <c r="B124" s="22" t="s">
        <v>502</v>
      </c>
      <c r="C124" s="17" t="s">
        <v>16</v>
      </c>
      <c r="D124" s="22" t="s">
        <v>358</v>
      </c>
      <c r="E124" s="22" t="s">
        <v>30</v>
      </c>
      <c r="F124" s="33">
        <v>35948161</v>
      </c>
      <c r="G124" s="33">
        <v>1538806</v>
      </c>
      <c r="H124" s="33">
        <v>23170420</v>
      </c>
      <c r="I124" s="33">
        <v>3214005</v>
      </c>
      <c r="J124" s="33">
        <v>4534498</v>
      </c>
      <c r="K124" s="33">
        <v>34324801</v>
      </c>
      <c r="L124" s="28">
        <v>0.41</v>
      </c>
      <c r="M124" s="31">
        <f>1201173/34308904</f>
        <v>3.5010532542805797E-2</v>
      </c>
      <c r="N124" s="33">
        <v>1201154</v>
      </c>
      <c r="O124" s="33">
        <v>389851</v>
      </c>
      <c r="P124" s="33">
        <v>0</v>
      </c>
      <c r="Q124" s="33">
        <v>864646</v>
      </c>
      <c r="R124" s="33">
        <v>67272</v>
      </c>
      <c r="S124" s="33">
        <v>142106</v>
      </c>
      <c r="T124" s="33">
        <v>90294</v>
      </c>
      <c r="U124" s="33">
        <v>4200</v>
      </c>
      <c r="V124" s="33">
        <v>16606</v>
      </c>
      <c r="W124" s="33">
        <v>15650</v>
      </c>
      <c r="X124" s="33">
        <v>0</v>
      </c>
      <c r="Y124" s="33">
        <f>13761+63871+33258</f>
        <v>110890</v>
      </c>
      <c r="Z124" s="33">
        <v>11036</v>
      </c>
      <c r="AA124" s="33">
        <f>8322+2462+231+1</f>
        <v>11016</v>
      </c>
      <c r="AB124" s="33">
        <v>0</v>
      </c>
      <c r="AC124" s="33">
        <v>81234</v>
      </c>
      <c r="AD124" s="33">
        <v>0</v>
      </c>
      <c r="AE124" s="33">
        <v>1465643</v>
      </c>
      <c r="AF124" s="31">
        <f t="shared" si="8"/>
        <v>0</v>
      </c>
      <c r="AG124" s="33">
        <v>122177</v>
      </c>
      <c r="AH124" s="33">
        <v>122177</v>
      </c>
      <c r="AI124" s="33">
        <v>0</v>
      </c>
      <c r="AJ124" s="33">
        <v>214990</v>
      </c>
      <c r="AK124" s="33">
        <v>0</v>
      </c>
      <c r="AL124" s="33">
        <v>0</v>
      </c>
      <c r="AM124" s="33">
        <v>0</v>
      </c>
      <c r="AN124" s="33">
        <v>8375</v>
      </c>
      <c r="AO124" s="33">
        <v>8498</v>
      </c>
      <c r="AP124" s="35">
        <v>36</v>
      </c>
    </row>
    <row r="125" spans="1:42">
      <c r="A125" s="5">
        <v>14</v>
      </c>
      <c r="B125" s="22" t="s">
        <v>238</v>
      </c>
      <c r="C125" s="17" t="s">
        <v>307</v>
      </c>
      <c r="D125" s="22" t="s">
        <v>516</v>
      </c>
      <c r="E125" s="22" t="s">
        <v>38</v>
      </c>
      <c r="F125" s="33">
        <v>6009893</v>
      </c>
      <c r="G125" s="33">
        <v>689880</v>
      </c>
      <c r="H125" s="33">
        <v>2369464</v>
      </c>
      <c r="I125" s="33">
        <v>1023614</v>
      </c>
      <c r="J125" s="33">
        <v>1164248</v>
      </c>
      <c r="K125" s="33">
        <v>5821981</v>
      </c>
      <c r="L125" s="28">
        <v>3.3</v>
      </c>
      <c r="M125" s="31">
        <f>506134/5784394</f>
        <v>8.7499917882495559E-2</v>
      </c>
      <c r="N125" s="33">
        <v>492192</v>
      </c>
      <c r="O125" s="33">
        <v>45334</v>
      </c>
      <c r="P125" s="33">
        <v>0</v>
      </c>
      <c r="Q125" s="33">
        <v>222776</v>
      </c>
      <c r="R125" s="33">
        <v>15050</v>
      </c>
      <c r="S125" s="33">
        <v>31500</v>
      </c>
      <c r="T125" s="33">
        <v>27718</v>
      </c>
      <c r="U125" s="33">
        <v>9000</v>
      </c>
      <c r="V125" s="33">
        <v>10493</v>
      </c>
      <c r="W125" s="33">
        <v>59000</v>
      </c>
      <c r="X125" s="33">
        <v>5935</v>
      </c>
      <c r="Y125" s="33">
        <f>6553+7470+11348</f>
        <v>25371</v>
      </c>
      <c r="Z125" s="33">
        <v>6063</v>
      </c>
      <c r="AA125" s="33">
        <v>1048</v>
      </c>
      <c r="AB125" s="33">
        <v>4755</v>
      </c>
      <c r="AC125" s="33">
        <v>13244</v>
      </c>
      <c r="AD125" s="33">
        <v>0</v>
      </c>
      <c r="AE125" s="33">
        <v>395921</v>
      </c>
      <c r="AF125" s="31">
        <f t="shared" si="8"/>
        <v>0</v>
      </c>
      <c r="AG125" s="33">
        <v>122176</v>
      </c>
      <c r="AH125" s="33">
        <v>122176</v>
      </c>
      <c r="AI125" s="33">
        <v>0</v>
      </c>
      <c r="AJ125" s="33">
        <v>65351</v>
      </c>
      <c r="AK125" s="33">
        <v>0</v>
      </c>
      <c r="AL125" s="33">
        <v>0</v>
      </c>
      <c r="AM125" s="33">
        <v>0</v>
      </c>
      <c r="AN125" s="33">
        <v>1979</v>
      </c>
      <c r="AO125" s="33">
        <v>2289</v>
      </c>
      <c r="AP125" s="35">
        <v>0</v>
      </c>
    </row>
    <row r="126" spans="1:42">
      <c r="A126" s="5">
        <v>14</v>
      </c>
      <c r="B126" s="22" t="s">
        <v>315</v>
      </c>
      <c r="C126" s="17" t="s">
        <v>406</v>
      </c>
      <c r="D126" s="22" t="s">
        <v>393</v>
      </c>
      <c r="E126" s="22" t="s">
        <v>38</v>
      </c>
      <c r="F126" s="33">
        <v>12523380</v>
      </c>
      <c r="G126" s="33">
        <v>997187</v>
      </c>
      <c r="H126" s="33">
        <v>6338547</v>
      </c>
      <c r="I126" s="33">
        <v>2201998</v>
      </c>
      <c r="J126" s="33">
        <v>971476</v>
      </c>
      <c r="K126" s="33">
        <v>11611895</v>
      </c>
      <c r="L126" s="28">
        <v>3.04</v>
      </c>
      <c r="M126" s="31">
        <f>647131/11590974</f>
        <v>5.5830597152577516E-2</v>
      </c>
      <c r="N126" s="33">
        <v>647695</v>
      </c>
      <c r="O126" s="33">
        <v>50840</v>
      </c>
      <c r="P126" s="33">
        <v>0</v>
      </c>
      <c r="Q126" s="33">
        <v>313363</v>
      </c>
      <c r="R126" s="33">
        <v>27613</v>
      </c>
      <c r="S126" s="33">
        <v>31265</v>
      </c>
      <c r="T126" s="33">
        <v>47080</v>
      </c>
      <c r="U126" s="33">
        <v>1243</v>
      </c>
      <c r="V126" s="33">
        <v>19879</v>
      </c>
      <c r="W126" s="33">
        <v>7400</v>
      </c>
      <c r="X126" s="33">
        <v>12000</v>
      </c>
      <c r="Y126" s="33">
        <f>8776+20237+22672</f>
        <v>51685</v>
      </c>
      <c r="Z126" s="33">
        <v>4426</v>
      </c>
      <c r="AA126" s="33">
        <f>3361+607+269</f>
        <v>4237</v>
      </c>
      <c r="AB126" s="33">
        <v>2459</v>
      </c>
      <c r="AC126" s="33">
        <v>35016</v>
      </c>
      <c r="AD126" s="33">
        <v>74092</v>
      </c>
      <c r="AE126" s="33">
        <v>608125</v>
      </c>
      <c r="AF126" s="31">
        <f t="shared" si="8"/>
        <v>0.12183679342240493</v>
      </c>
      <c r="AG126" s="33">
        <v>122177</v>
      </c>
      <c r="AH126" s="33">
        <v>122177</v>
      </c>
      <c r="AI126" s="33">
        <v>0</v>
      </c>
      <c r="AJ126" s="33">
        <v>71264</v>
      </c>
      <c r="AK126" s="33">
        <v>0</v>
      </c>
      <c r="AL126" s="33">
        <v>0</v>
      </c>
      <c r="AM126" s="33">
        <v>0</v>
      </c>
      <c r="AN126" s="33">
        <v>3451</v>
      </c>
      <c r="AO126" s="33">
        <v>3726</v>
      </c>
      <c r="AP126" s="32">
        <v>0</v>
      </c>
    </row>
    <row r="127" spans="1:42">
      <c r="A127" s="5">
        <v>14</v>
      </c>
      <c r="B127" s="22" t="s">
        <v>407</v>
      </c>
      <c r="C127" s="17" t="s">
        <v>16</v>
      </c>
      <c r="D127" s="22" t="s">
        <v>393</v>
      </c>
      <c r="E127" s="22" t="s">
        <v>38</v>
      </c>
      <c r="F127" s="33">
        <v>11901442</v>
      </c>
      <c r="G127" s="33">
        <v>569355</v>
      </c>
      <c r="H127" s="33">
        <v>5090908</v>
      </c>
      <c r="I127" s="33">
        <v>2117027</v>
      </c>
      <c r="J127" s="33">
        <v>2265142</v>
      </c>
      <c r="K127" s="33">
        <v>11224108</v>
      </c>
      <c r="L127" s="28">
        <v>1.51</v>
      </c>
      <c r="M127" s="31">
        <f>699997/11199949</f>
        <v>6.2500016741147663E-2</v>
      </c>
      <c r="N127" s="33">
        <v>696749</v>
      </c>
      <c r="O127" s="33">
        <v>144099</v>
      </c>
      <c r="P127" s="33">
        <v>0</v>
      </c>
      <c r="Q127" s="33">
        <v>384596</v>
      </c>
      <c r="R127" s="33">
        <v>31325</v>
      </c>
      <c r="S127" s="33">
        <v>51949</v>
      </c>
      <c r="T127" s="33">
        <v>45666</v>
      </c>
      <c r="U127" s="33">
        <v>10475</v>
      </c>
      <c r="V127" s="33">
        <v>15627</v>
      </c>
      <c r="W127" s="33">
        <v>11600</v>
      </c>
      <c r="X127" s="33">
        <v>42050</v>
      </c>
      <c r="Y127" s="33">
        <f>7655+17081+14537</f>
        <v>39273</v>
      </c>
      <c r="Z127" s="33">
        <v>1396</v>
      </c>
      <c r="AA127" s="33">
        <v>0</v>
      </c>
      <c r="AB127" s="33">
        <v>1861</v>
      </c>
      <c r="AC127" s="33">
        <v>3169</v>
      </c>
      <c r="AD127" s="33">
        <v>52644</v>
      </c>
      <c r="AE127" s="33">
        <v>697010</v>
      </c>
      <c r="AF127" s="31">
        <f t="shared" si="8"/>
        <v>7.5528328144502943E-2</v>
      </c>
      <c r="AG127" s="33">
        <v>122177</v>
      </c>
      <c r="AH127" s="33">
        <v>122177</v>
      </c>
      <c r="AI127" s="33">
        <v>0</v>
      </c>
      <c r="AJ127" s="33">
        <v>90412</v>
      </c>
      <c r="AK127" s="33">
        <v>0</v>
      </c>
      <c r="AL127" s="33">
        <v>0</v>
      </c>
      <c r="AM127" s="33">
        <v>0</v>
      </c>
      <c r="AN127" s="33">
        <v>3000</v>
      </c>
      <c r="AO127" s="33">
        <v>3595</v>
      </c>
      <c r="AP127" s="35">
        <v>9</v>
      </c>
    </row>
    <row r="128" spans="1:42">
      <c r="A128" s="5">
        <v>14</v>
      </c>
      <c r="B128" s="22" t="s">
        <v>475</v>
      </c>
      <c r="C128" s="17" t="s">
        <v>247</v>
      </c>
      <c r="D128" s="22" t="s">
        <v>554</v>
      </c>
      <c r="E128" s="22" t="s">
        <v>38</v>
      </c>
      <c r="F128" s="33">
        <v>405427</v>
      </c>
      <c r="G128" s="33">
        <v>3228</v>
      </c>
      <c r="H128" s="33">
        <v>124727</v>
      </c>
      <c r="I128" s="33">
        <v>111973</v>
      </c>
      <c r="J128" s="33">
        <v>41310</v>
      </c>
      <c r="K128" s="33">
        <v>364915</v>
      </c>
      <c r="L128" s="28">
        <v>8.3000000000000007</v>
      </c>
      <c r="M128" s="31">
        <f>36492/364915</f>
        <v>0.1000013701820972</v>
      </c>
      <c r="N128" s="33">
        <v>36991</v>
      </c>
      <c r="O128" s="33">
        <v>290</v>
      </c>
      <c r="P128" s="33">
        <v>0</v>
      </c>
      <c r="Q128" s="33">
        <v>9920</v>
      </c>
      <c r="R128" s="33">
        <v>993</v>
      </c>
      <c r="S128" s="33">
        <v>0</v>
      </c>
      <c r="T128" s="33">
        <f>6500+208</f>
        <v>6708</v>
      </c>
      <c r="U128" s="33">
        <v>0</v>
      </c>
      <c r="V128" s="33">
        <v>3980</v>
      </c>
      <c r="W128" s="33">
        <v>0</v>
      </c>
      <c r="X128" s="33">
        <v>0</v>
      </c>
      <c r="Y128" s="33">
        <f>538+290+784</f>
        <v>1612</v>
      </c>
      <c r="Z128" s="33">
        <v>0</v>
      </c>
      <c r="AA128" s="33">
        <v>600</v>
      </c>
      <c r="AB128" s="33">
        <v>0</v>
      </c>
      <c r="AC128" s="33">
        <v>0</v>
      </c>
      <c r="AD128" s="33">
        <v>23873</v>
      </c>
      <c r="AE128" s="33">
        <v>27203</v>
      </c>
      <c r="AF128" s="31">
        <f t="shared" si="8"/>
        <v>0.87758703084218648</v>
      </c>
      <c r="AG128" s="33">
        <v>12407</v>
      </c>
      <c r="AH128" s="33">
        <v>12407</v>
      </c>
      <c r="AI128" s="33">
        <v>0</v>
      </c>
      <c r="AJ128" s="33">
        <v>708</v>
      </c>
      <c r="AK128" s="33">
        <v>0</v>
      </c>
      <c r="AL128" s="33">
        <v>0</v>
      </c>
      <c r="AM128" s="33">
        <v>0</v>
      </c>
      <c r="AN128" s="33">
        <v>125</v>
      </c>
      <c r="AO128" s="33">
        <v>151</v>
      </c>
      <c r="AP128" s="35">
        <v>2</v>
      </c>
    </row>
    <row r="129" spans="1:42">
      <c r="A129" s="5">
        <v>15</v>
      </c>
      <c r="B129" s="22" t="s">
        <v>213</v>
      </c>
      <c r="C129" s="17" t="s">
        <v>209</v>
      </c>
      <c r="D129" s="22" t="s">
        <v>447</v>
      </c>
      <c r="E129" s="22" t="s">
        <v>81</v>
      </c>
      <c r="F129" s="33">
        <v>14880164</v>
      </c>
      <c r="G129" s="33">
        <v>511173</v>
      </c>
      <c r="H129" s="33">
        <v>6421330</v>
      </c>
      <c r="I129" s="33">
        <v>2304314</v>
      </c>
      <c r="J129" s="33">
        <v>4636748</v>
      </c>
      <c r="K129" s="33">
        <v>15463062</v>
      </c>
      <c r="L129" s="28">
        <v>0.59</v>
      </c>
      <c r="M129" s="31">
        <v>5.0799999999999998E-2</v>
      </c>
      <c r="N129" s="33">
        <v>785959</v>
      </c>
      <c r="O129" s="33">
        <v>237878</v>
      </c>
      <c r="P129" s="33">
        <v>0</v>
      </c>
      <c r="Q129" s="33">
        <v>423586</v>
      </c>
      <c r="R129" s="33">
        <v>42205</v>
      </c>
      <c r="S129" s="33">
        <v>48938</v>
      </c>
      <c r="T129" s="33">
        <v>62351</v>
      </c>
      <c r="U129" s="33">
        <v>6222</v>
      </c>
      <c r="V129" s="33">
        <v>130236</v>
      </c>
      <c r="W129" s="33">
        <v>22317</v>
      </c>
      <c r="X129" s="33">
        <v>0</v>
      </c>
      <c r="Y129" s="33">
        <v>55379</v>
      </c>
      <c r="Z129" s="33">
        <v>6689</v>
      </c>
      <c r="AA129" s="33">
        <v>0</v>
      </c>
      <c r="AB129" s="33">
        <v>634</v>
      </c>
      <c r="AC129" s="33">
        <v>3516</v>
      </c>
      <c r="AD129" s="33">
        <v>0</v>
      </c>
      <c r="AE129" s="33">
        <v>827339</v>
      </c>
      <c r="AF129" s="31">
        <f t="shared" si="8"/>
        <v>0</v>
      </c>
      <c r="AG129" s="33">
        <f>91079+25575</f>
        <v>116654</v>
      </c>
      <c r="AH129" s="33">
        <v>116654</v>
      </c>
      <c r="AI129" s="33">
        <v>0</v>
      </c>
      <c r="AJ129" s="33">
        <v>154962</v>
      </c>
      <c r="AK129" s="33">
        <v>14314</v>
      </c>
      <c r="AL129" s="33">
        <v>0</v>
      </c>
      <c r="AM129" s="33">
        <v>0</v>
      </c>
      <c r="AN129" s="33">
        <v>3998</v>
      </c>
      <c r="AO129" s="33">
        <v>4427</v>
      </c>
      <c r="AP129" s="35">
        <v>173</v>
      </c>
    </row>
    <row r="130" spans="1:42">
      <c r="A130" s="5">
        <v>15</v>
      </c>
      <c r="B130" s="22" t="s">
        <v>229</v>
      </c>
      <c r="C130" s="17" t="s">
        <v>227</v>
      </c>
      <c r="D130" s="22" t="s">
        <v>224</v>
      </c>
      <c r="E130" s="22" t="s">
        <v>220</v>
      </c>
      <c r="F130" s="33">
        <v>561020</v>
      </c>
      <c r="G130" s="33">
        <v>23001</v>
      </c>
      <c r="H130" s="33">
        <v>129717</v>
      </c>
      <c r="I130" s="33">
        <v>47891</v>
      </c>
      <c r="J130" s="33">
        <v>310382</v>
      </c>
      <c r="K130" s="33">
        <v>548827</v>
      </c>
      <c r="L130" s="28">
        <v>3.6</v>
      </c>
      <c r="M130" s="31">
        <f>54832/548317</f>
        <v>0.10000054712875946</v>
      </c>
      <c r="N130" s="33">
        <v>54450</v>
      </c>
      <c r="O130" s="33">
        <v>0</v>
      </c>
      <c r="P130" s="33">
        <v>0</v>
      </c>
      <c r="Q130" s="33">
        <v>17496</v>
      </c>
      <c r="R130" s="33">
        <v>1438</v>
      </c>
      <c r="S130" s="33">
        <v>150</v>
      </c>
      <c r="T130" s="33">
        <v>7238</v>
      </c>
      <c r="U130" s="33">
        <v>1000</v>
      </c>
      <c r="V130" s="33">
        <v>0</v>
      </c>
      <c r="W130" s="33">
        <v>0</v>
      </c>
      <c r="X130" s="33">
        <v>0</v>
      </c>
      <c r="Y130" s="33">
        <f>1172+545+715</f>
        <v>2432</v>
      </c>
      <c r="Z130" s="33">
        <v>0</v>
      </c>
      <c r="AA130" s="33">
        <v>50</v>
      </c>
      <c r="AB130" s="33">
        <v>650</v>
      </c>
      <c r="AC130" s="33">
        <v>1771</v>
      </c>
      <c r="AD130" s="33">
        <v>1650</v>
      </c>
      <c r="AE130" s="33">
        <v>35046</v>
      </c>
      <c r="AF130" s="31">
        <f t="shared" si="8"/>
        <v>4.7080979284369114E-2</v>
      </c>
      <c r="AG130" s="33">
        <v>22859</v>
      </c>
      <c r="AH130" s="33">
        <v>22859</v>
      </c>
      <c r="AI130" s="33">
        <v>0</v>
      </c>
      <c r="AJ130" s="33">
        <v>0</v>
      </c>
      <c r="AK130" s="33">
        <v>0</v>
      </c>
      <c r="AL130" s="33">
        <v>0</v>
      </c>
      <c r="AM130" s="33">
        <v>0</v>
      </c>
      <c r="AN130" s="33">
        <v>195</v>
      </c>
      <c r="AO130" s="33">
        <v>208</v>
      </c>
      <c r="AP130" s="35">
        <v>10</v>
      </c>
    </row>
    <row r="131" spans="1:42">
      <c r="A131" s="5">
        <v>15</v>
      </c>
      <c r="B131" s="22" t="s">
        <v>474</v>
      </c>
      <c r="C131" s="17" t="s">
        <v>128</v>
      </c>
      <c r="D131" s="22" t="s">
        <v>447</v>
      </c>
      <c r="E131" s="22" t="s">
        <v>81</v>
      </c>
      <c r="F131" s="33">
        <v>18866222</v>
      </c>
      <c r="G131" s="33">
        <v>547432</v>
      </c>
      <c r="H131" s="33">
        <v>8773464</v>
      </c>
      <c r="I131" s="33">
        <v>2629394</v>
      </c>
      <c r="J131" s="33">
        <v>5102280</v>
      </c>
      <c r="K131" s="33">
        <v>18256093</v>
      </c>
      <c r="L131" s="28">
        <v>0.69</v>
      </c>
      <c r="M131" s="31">
        <f>504721/18244777</f>
        <v>2.7663862375517115E-2</v>
      </c>
      <c r="N131" s="33">
        <v>503944</v>
      </c>
      <c r="O131" s="33">
        <v>470909</v>
      </c>
      <c r="P131" s="33">
        <v>0</v>
      </c>
      <c r="Q131" s="33">
        <v>447217</v>
      </c>
      <c r="R131" s="33">
        <v>38655</v>
      </c>
      <c r="S131" s="33">
        <v>76431</v>
      </c>
      <c r="T131" s="33">
        <f>106301+6649</f>
        <v>112950</v>
      </c>
      <c r="U131" s="33">
        <v>3000</v>
      </c>
      <c r="V131" s="33">
        <v>15505</v>
      </c>
      <c r="W131" s="33">
        <v>17000</v>
      </c>
      <c r="X131" s="33">
        <v>0</v>
      </c>
      <c r="Y131" s="33">
        <f>4839+32872+18907</f>
        <v>56618</v>
      </c>
      <c r="Z131" s="33">
        <v>10665</v>
      </c>
      <c r="AA131" s="33">
        <v>0</v>
      </c>
      <c r="AB131" s="33">
        <v>148</v>
      </c>
      <c r="AC131" s="33">
        <v>7758</v>
      </c>
      <c r="AD131" s="33">
        <v>0</v>
      </c>
      <c r="AE131" s="33">
        <v>810803</v>
      </c>
      <c r="AF131" s="31">
        <f t="shared" si="8"/>
        <v>0</v>
      </c>
      <c r="AG131" s="33">
        <v>122177</v>
      </c>
      <c r="AH131" s="33">
        <v>122177</v>
      </c>
      <c r="AI131" s="33">
        <v>0</v>
      </c>
      <c r="AJ131" s="33">
        <v>116938</v>
      </c>
      <c r="AK131" s="33">
        <v>0</v>
      </c>
      <c r="AL131" s="33">
        <v>0</v>
      </c>
      <c r="AM131" s="33">
        <v>0</v>
      </c>
      <c r="AN131" s="33">
        <v>5194</v>
      </c>
      <c r="AO131" s="33">
        <v>5495</v>
      </c>
      <c r="AP131" s="35">
        <v>0</v>
      </c>
    </row>
    <row r="132" spans="1:42">
      <c r="A132" s="5">
        <v>16</v>
      </c>
      <c r="B132" s="22" t="s">
        <v>109</v>
      </c>
      <c r="C132" s="17" t="s">
        <v>31</v>
      </c>
      <c r="D132" s="22" t="s">
        <v>452</v>
      </c>
      <c r="E132" s="22" t="s">
        <v>81</v>
      </c>
      <c r="F132" s="33">
        <v>17910058</v>
      </c>
      <c r="G132" s="33">
        <v>691311</v>
      </c>
      <c r="H132" s="33">
        <v>9271726</v>
      </c>
      <c r="I132" s="33">
        <v>2711625</v>
      </c>
      <c r="J132" s="33">
        <v>3229617</v>
      </c>
      <c r="K132" s="33">
        <v>17567162</v>
      </c>
      <c r="L132" s="28">
        <v>0.44</v>
      </c>
      <c r="M132" s="31">
        <f>1273184/17561163</f>
        <v>7.2499981920331816E-2</v>
      </c>
      <c r="N132" s="33">
        <v>1289463</v>
      </c>
      <c r="O132" s="33">
        <v>400000</v>
      </c>
      <c r="P132" s="33">
        <v>0</v>
      </c>
      <c r="Q132" s="33">
        <v>468724</v>
      </c>
      <c r="R132" s="33">
        <v>43560</v>
      </c>
      <c r="S132" s="33">
        <v>149731</v>
      </c>
      <c r="T132" s="33">
        <v>138737</v>
      </c>
      <c r="U132" s="33">
        <v>0</v>
      </c>
      <c r="V132" s="33">
        <v>75983</v>
      </c>
      <c r="W132" s="33">
        <v>12243</v>
      </c>
      <c r="X132" s="33">
        <v>47662</v>
      </c>
      <c r="Y132" s="33">
        <f>15060+39063+29475</f>
        <v>83598</v>
      </c>
      <c r="Z132" s="33">
        <v>4021</v>
      </c>
      <c r="AA132" s="33">
        <f>4508+38</f>
        <v>4546</v>
      </c>
      <c r="AB132" s="33">
        <v>10048</v>
      </c>
      <c r="AC132" s="33">
        <v>212966</v>
      </c>
      <c r="AD132" s="33">
        <v>0</v>
      </c>
      <c r="AE132" s="33">
        <v>1365595</v>
      </c>
      <c r="AF132" s="31">
        <f t="shared" si="8"/>
        <v>0</v>
      </c>
      <c r="AG132" s="33">
        <v>118019</v>
      </c>
      <c r="AH132" s="33">
        <v>118019</v>
      </c>
      <c r="AI132" s="33">
        <v>0</v>
      </c>
      <c r="AJ132" s="33">
        <v>260413</v>
      </c>
      <c r="AK132" s="33">
        <v>28262</v>
      </c>
      <c r="AL132" s="33">
        <v>28262</v>
      </c>
      <c r="AM132" s="33">
        <v>0</v>
      </c>
      <c r="AN132" s="33">
        <v>3949</v>
      </c>
      <c r="AO132" s="33" t="s">
        <v>345</v>
      </c>
      <c r="AP132" s="35">
        <v>6</v>
      </c>
    </row>
    <row r="133" spans="1:42">
      <c r="A133" s="5">
        <v>16</v>
      </c>
      <c r="B133" s="22" t="s">
        <v>124</v>
      </c>
      <c r="C133" s="17" t="s">
        <v>347</v>
      </c>
      <c r="D133" s="22" t="s">
        <v>292</v>
      </c>
      <c r="E133" s="22" t="s">
        <v>81</v>
      </c>
      <c r="F133" s="33">
        <v>16965504</v>
      </c>
      <c r="G133" s="33">
        <v>739921</v>
      </c>
      <c r="H133" s="33">
        <v>9085431</v>
      </c>
      <c r="I133" s="33">
        <v>2236440</v>
      </c>
      <c r="J133" s="33">
        <v>2192137</v>
      </c>
      <c r="K133" s="33">
        <v>16098822</v>
      </c>
      <c r="L133" s="28">
        <v>0.44</v>
      </c>
      <c r="M133" s="31">
        <f>883790/16068909</f>
        <v>5.500000031115989E-2</v>
      </c>
      <c r="N133" s="33">
        <v>881816</v>
      </c>
      <c r="O133" s="33">
        <v>388307</v>
      </c>
      <c r="P133" s="33">
        <v>0</v>
      </c>
      <c r="Q133" s="33">
        <v>492928</v>
      </c>
      <c r="R133" s="33">
        <v>46966</v>
      </c>
      <c r="S133" s="33">
        <v>92360</v>
      </c>
      <c r="T133" s="33">
        <v>135574</v>
      </c>
      <c r="U133" s="33">
        <v>36000</v>
      </c>
      <c r="V133" s="33">
        <v>22710</v>
      </c>
      <c r="W133" s="33">
        <v>15100</v>
      </c>
      <c r="X133" s="33">
        <v>19692</v>
      </c>
      <c r="Y133" s="33">
        <f>11677+26999+48483</f>
        <v>87159</v>
      </c>
      <c r="Z133" s="33">
        <v>1980</v>
      </c>
      <c r="AA133" s="33">
        <f>6411+582</f>
        <v>6993</v>
      </c>
      <c r="AB133" s="33">
        <v>5831</v>
      </c>
      <c r="AC133" s="33">
        <v>5919</v>
      </c>
      <c r="AD133" s="33">
        <v>51000</v>
      </c>
      <c r="AE133" s="33">
        <v>1026393</v>
      </c>
      <c r="AF133" s="31">
        <f t="shared" si="8"/>
        <v>4.9688569582995987E-2</v>
      </c>
      <c r="AG133" s="33">
        <v>122177</v>
      </c>
      <c r="AH133" s="33">
        <v>122177</v>
      </c>
      <c r="AI133" s="33">
        <v>0</v>
      </c>
      <c r="AJ133" s="33">
        <v>173407</v>
      </c>
      <c r="AK133" s="33">
        <v>0</v>
      </c>
      <c r="AL133" s="33">
        <v>0</v>
      </c>
      <c r="AM133" s="33">
        <v>0</v>
      </c>
      <c r="AN133" s="33">
        <v>3821</v>
      </c>
      <c r="AO133" s="33">
        <v>3640</v>
      </c>
      <c r="AP133" s="35">
        <v>0</v>
      </c>
    </row>
    <row r="134" spans="1:42">
      <c r="A134" s="5">
        <v>16</v>
      </c>
      <c r="B134" s="22" t="s">
        <v>144</v>
      </c>
      <c r="C134" s="17" t="s">
        <v>151</v>
      </c>
      <c r="D134" s="22" t="s">
        <v>292</v>
      </c>
      <c r="E134" s="22" t="s">
        <v>81</v>
      </c>
      <c r="F134" s="33">
        <v>14901236</v>
      </c>
      <c r="G134" s="33">
        <v>1486773</v>
      </c>
      <c r="H134" s="33">
        <v>6928424</v>
      </c>
      <c r="I134" s="33">
        <v>2006523</v>
      </c>
      <c r="J134" s="33">
        <v>2697001</v>
      </c>
      <c r="K134" s="33">
        <v>13904093</v>
      </c>
      <c r="L134" s="28">
        <v>1.19</v>
      </c>
      <c r="M134" s="31">
        <f>996799/13785186</f>
        <v>7.2309434199872236E-2</v>
      </c>
      <c r="N134" s="33">
        <v>996821</v>
      </c>
      <c r="O134" s="33">
        <v>209810</v>
      </c>
      <c r="P134" s="33">
        <v>0</v>
      </c>
      <c r="Q134" s="33">
        <v>517106</v>
      </c>
      <c r="R134" s="33">
        <v>49871</v>
      </c>
      <c r="S134" s="33">
        <v>68039</v>
      </c>
      <c r="T134" s="33">
        <v>109673</v>
      </c>
      <c r="U134" s="33">
        <v>22504</v>
      </c>
      <c r="V134" s="33">
        <v>18891</v>
      </c>
      <c r="W134" s="33">
        <v>18550</v>
      </c>
      <c r="X134" s="33">
        <v>-2010</v>
      </c>
      <c r="Y134" s="33">
        <f>24521+31385+41798</f>
        <v>97704</v>
      </c>
      <c r="Z134" s="33">
        <v>7466</v>
      </c>
      <c r="AA134" s="33">
        <v>235</v>
      </c>
      <c r="AB134" s="33">
        <v>5012</v>
      </c>
      <c r="AC134" s="33">
        <v>36629</v>
      </c>
      <c r="AD134" s="33">
        <v>0</v>
      </c>
      <c r="AE134" s="33">
        <v>1007077</v>
      </c>
      <c r="AF134" s="31">
        <f t="shared" si="8"/>
        <v>0</v>
      </c>
      <c r="AG134" s="33">
        <v>122177</v>
      </c>
      <c r="AH134" s="33">
        <v>122177</v>
      </c>
      <c r="AI134" s="33">
        <v>0</v>
      </c>
      <c r="AJ134" s="33">
        <v>144016</v>
      </c>
      <c r="AK134" s="33">
        <v>0</v>
      </c>
      <c r="AL134" s="33">
        <v>0</v>
      </c>
      <c r="AM134" s="33">
        <v>0</v>
      </c>
      <c r="AN134" s="33">
        <v>3409</v>
      </c>
      <c r="AO134" s="33">
        <v>3762</v>
      </c>
      <c r="AP134" s="35">
        <v>2</v>
      </c>
    </row>
    <row r="135" spans="1:42">
      <c r="A135" s="5">
        <v>16</v>
      </c>
      <c r="B135" s="22" t="s">
        <v>205</v>
      </c>
      <c r="C135" s="17" t="s">
        <v>468</v>
      </c>
      <c r="D135" s="22" t="s">
        <v>452</v>
      </c>
      <c r="E135" s="22" t="s">
        <v>81</v>
      </c>
      <c r="F135" s="33">
        <v>10484711</v>
      </c>
      <c r="G135" s="33">
        <v>656767</v>
      </c>
      <c r="H135" s="33">
        <v>4359107</v>
      </c>
      <c r="I135" s="33">
        <v>2336647</v>
      </c>
      <c r="J135" s="33">
        <v>2563848</v>
      </c>
      <c r="K135" s="33">
        <v>10313199</v>
      </c>
      <c r="L135" s="28">
        <v>0.82</v>
      </c>
      <c r="M135" s="31">
        <f>392546/7477060</f>
        <v>5.2500046809842368E-2</v>
      </c>
      <c r="N135" s="33">
        <v>393487</v>
      </c>
      <c r="O135" s="33">
        <v>320908</v>
      </c>
      <c r="P135" s="33">
        <v>0</v>
      </c>
      <c r="Q135" s="33">
        <v>197191</v>
      </c>
      <c r="R135" s="33">
        <v>16986</v>
      </c>
      <c r="S135" s="33">
        <v>58492</v>
      </c>
      <c r="T135" s="33">
        <v>44281</v>
      </c>
      <c r="U135" s="33">
        <v>6757</v>
      </c>
      <c r="V135" s="33">
        <v>47438</v>
      </c>
      <c r="W135" s="33">
        <v>6307</v>
      </c>
      <c r="X135" s="33">
        <v>5791</v>
      </c>
      <c r="Y135" s="33">
        <f>4293+10507+28406</f>
        <v>43206</v>
      </c>
      <c r="Z135" s="33">
        <v>1243</v>
      </c>
      <c r="AA135" s="33">
        <v>0</v>
      </c>
      <c r="AB135" s="33">
        <v>20254</v>
      </c>
      <c r="AC135" s="33">
        <v>1050</v>
      </c>
      <c r="AD135" s="33">
        <v>0</v>
      </c>
      <c r="AE135" s="33">
        <v>535268</v>
      </c>
      <c r="AF135" s="31">
        <f t="shared" si="8"/>
        <v>0</v>
      </c>
      <c r="AG135" s="33">
        <v>122177</v>
      </c>
      <c r="AH135" s="33">
        <v>122177</v>
      </c>
      <c r="AI135" s="33">
        <v>0</v>
      </c>
      <c r="AJ135" s="33">
        <v>101557</v>
      </c>
      <c r="AK135" s="33">
        <v>10561</v>
      </c>
      <c r="AL135" s="33">
        <v>10561</v>
      </c>
      <c r="AM135" s="33">
        <v>0</v>
      </c>
      <c r="AN135" s="33">
        <v>1655</v>
      </c>
      <c r="AO135" s="33">
        <v>5685</v>
      </c>
      <c r="AP135" s="35">
        <v>0</v>
      </c>
    </row>
    <row r="136" spans="1:42">
      <c r="A136" s="5">
        <v>17</v>
      </c>
      <c r="B136" s="22" t="s">
        <v>77</v>
      </c>
      <c r="C136" s="17" t="s">
        <v>128</v>
      </c>
      <c r="D136" s="22" t="s">
        <v>448</v>
      </c>
      <c r="E136" s="22" t="s">
        <v>81</v>
      </c>
      <c r="F136" s="33">
        <v>12807248</v>
      </c>
      <c r="G136" s="33">
        <v>373296</v>
      </c>
      <c r="H136" s="33">
        <v>5146581</v>
      </c>
      <c r="I136" s="33">
        <v>2466265</v>
      </c>
      <c r="J136" s="33">
        <v>2986880</v>
      </c>
      <c r="K136" s="33">
        <v>12399955</v>
      </c>
      <c r="L136" s="28">
        <v>0.67200000000000004</v>
      </c>
      <c r="M136" s="31">
        <f>875130/12378833</f>
        <v>7.0695678663731873E-2</v>
      </c>
      <c r="N136" s="33">
        <v>876090</v>
      </c>
      <c r="O136" s="33">
        <v>264969</v>
      </c>
      <c r="P136" s="33">
        <v>0</v>
      </c>
      <c r="Q136" s="33">
        <v>443927</v>
      </c>
      <c r="R136" s="33">
        <v>40180</v>
      </c>
      <c r="S136" s="33">
        <v>71025</v>
      </c>
      <c r="T136" s="33">
        <v>101756</v>
      </c>
      <c r="U136" s="33">
        <v>4595</v>
      </c>
      <c r="V136" s="33">
        <v>20613</v>
      </c>
      <c r="W136" s="33">
        <v>17000</v>
      </c>
      <c r="X136" s="33">
        <v>23954</v>
      </c>
      <c r="Y136" s="33">
        <f>15968+44884+28866</f>
        <v>89718</v>
      </c>
      <c r="Z136" s="33">
        <v>11468</v>
      </c>
      <c r="AA136" s="33">
        <f>1921+281+207</f>
        <v>2409</v>
      </c>
      <c r="AB136" s="33">
        <v>7442</v>
      </c>
      <c r="AC136" s="33">
        <v>45542</v>
      </c>
      <c r="AD136" s="33">
        <v>0</v>
      </c>
      <c r="AE136" s="33">
        <v>928935</v>
      </c>
      <c r="AF136" s="31">
        <f t="shared" si="8"/>
        <v>0</v>
      </c>
      <c r="AG136" s="33">
        <v>122176</v>
      </c>
      <c r="AH136" s="33">
        <v>122176</v>
      </c>
      <c r="AI136" s="33">
        <v>0</v>
      </c>
      <c r="AJ136" s="33">
        <v>132577</v>
      </c>
      <c r="AK136" s="33">
        <v>0</v>
      </c>
      <c r="AL136" s="33">
        <v>0</v>
      </c>
      <c r="AM136" s="33">
        <v>0</v>
      </c>
      <c r="AN136" s="33">
        <v>3674</v>
      </c>
      <c r="AO136" s="33">
        <v>3969</v>
      </c>
      <c r="AP136" s="35">
        <v>121</v>
      </c>
    </row>
    <row r="137" spans="1:42">
      <c r="A137" s="5">
        <v>17</v>
      </c>
      <c r="B137" s="22" t="s">
        <v>159</v>
      </c>
      <c r="C137" s="17" t="s">
        <v>299</v>
      </c>
      <c r="D137" s="22" t="s">
        <v>179</v>
      </c>
      <c r="E137" s="22" t="s">
        <v>81</v>
      </c>
      <c r="F137" s="33">
        <v>11692823</v>
      </c>
      <c r="G137" s="33">
        <v>469130</v>
      </c>
      <c r="H137" s="33">
        <v>6172943</v>
      </c>
      <c r="I137" s="33">
        <v>2033134</v>
      </c>
      <c r="J137" s="33">
        <v>1916832</v>
      </c>
      <c r="K137" s="33">
        <v>11525188</v>
      </c>
      <c r="L137" s="28">
        <v>1.01</v>
      </c>
      <c r="M137" s="31">
        <f>790458/11362385</f>
        <v>6.9567964824286455E-2</v>
      </c>
      <c r="N137" s="33">
        <v>790517</v>
      </c>
      <c r="O137" s="33">
        <v>189132</v>
      </c>
      <c r="P137" s="33">
        <v>0</v>
      </c>
      <c r="Q137" s="33">
        <v>346759</v>
      </c>
      <c r="R137" s="33">
        <v>28719</v>
      </c>
      <c r="S137" s="33">
        <v>63784</v>
      </c>
      <c r="T137" s="33">
        <f>44123+7661</f>
        <v>51784</v>
      </c>
      <c r="U137" s="33">
        <v>8355</v>
      </c>
      <c r="V137" s="33">
        <v>67275</v>
      </c>
      <c r="W137" s="33">
        <v>13950</v>
      </c>
      <c r="X137" s="33">
        <v>49180</v>
      </c>
      <c r="Y137" s="33">
        <f>12454+51176+55008</f>
        <v>118638</v>
      </c>
      <c r="Z137" s="33">
        <v>5846</v>
      </c>
      <c r="AA137" s="33">
        <f>558+396+5827</f>
        <v>6781</v>
      </c>
      <c r="AB137" s="33">
        <v>0</v>
      </c>
      <c r="AC137" s="33">
        <v>13711</v>
      </c>
      <c r="AD137" s="33">
        <v>27360</v>
      </c>
      <c r="AE137" s="33">
        <v>838220</v>
      </c>
      <c r="AF137" s="31">
        <f t="shared" si="8"/>
        <v>3.2640595547708241E-2</v>
      </c>
      <c r="AG137" s="33">
        <v>122177</v>
      </c>
      <c r="AH137" s="33">
        <v>122177</v>
      </c>
      <c r="AI137" s="33">
        <v>0</v>
      </c>
      <c r="AJ137" s="33">
        <v>129056</v>
      </c>
      <c r="AK137" s="33">
        <v>0</v>
      </c>
      <c r="AL137" s="33">
        <v>0</v>
      </c>
      <c r="AM137" s="33">
        <v>0</v>
      </c>
      <c r="AN137" s="33">
        <v>2297</v>
      </c>
      <c r="AO137" s="33">
        <v>2418</v>
      </c>
      <c r="AP137" s="35">
        <v>78</v>
      </c>
    </row>
    <row r="138" spans="1:42">
      <c r="A138" s="5">
        <v>17</v>
      </c>
      <c r="B138" s="22" t="s">
        <v>259</v>
      </c>
      <c r="C138" s="17" t="s">
        <v>147</v>
      </c>
      <c r="D138" s="22" t="s">
        <v>449</v>
      </c>
      <c r="E138" s="22" t="s">
        <v>81</v>
      </c>
      <c r="F138" s="33">
        <v>22454652</v>
      </c>
      <c r="G138" s="33">
        <v>663389</v>
      </c>
      <c r="H138" s="33">
        <v>10682362</v>
      </c>
      <c r="I138" s="33">
        <v>3650158</v>
      </c>
      <c r="J138" s="33">
        <v>3662106</v>
      </c>
      <c r="K138" s="33">
        <v>21864954</v>
      </c>
      <c r="L138" s="28">
        <v>0.56000000000000005</v>
      </c>
      <c r="M138" s="31">
        <f>1560388/21846511</f>
        <v>7.1425043568741936E-2</v>
      </c>
      <c r="N138" s="33">
        <v>1558092</v>
      </c>
      <c r="O138" s="33">
        <v>310793</v>
      </c>
      <c r="P138" s="33">
        <v>0</v>
      </c>
      <c r="Q138" s="33">
        <v>870029</v>
      </c>
      <c r="R138" s="33">
        <v>71710</v>
      </c>
      <c r="S138" s="33">
        <v>148809</v>
      </c>
      <c r="T138" s="33">
        <v>183234</v>
      </c>
      <c r="U138" s="33">
        <v>9780</v>
      </c>
      <c r="V138" s="33">
        <v>22358</v>
      </c>
      <c r="W138" s="33">
        <v>22000</v>
      </c>
      <c r="X138" s="33">
        <v>4293</v>
      </c>
      <c r="Y138" s="33">
        <f>21128+50042+43297</f>
        <v>114467</v>
      </c>
      <c r="Z138" s="33">
        <v>7558</v>
      </c>
      <c r="AA138" s="33">
        <v>1691</v>
      </c>
      <c r="AB138" s="33">
        <v>0</v>
      </c>
      <c r="AC138" s="33">
        <v>14873</v>
      </c>
      <c r="AD138" s="33">
        <v>82446</v>
      </c>
      <c r="AE138" s="33">
        <v>1573288</v>
      </c>
      <c r="AF138" s="31">
        <f t="shared" si="8"/>
        <v>5.2403628579128551E-2</v>
      </c>
      <c r="AG138" s="33">
        <v>122177</v>
      </c>
      <c r="AH138" s="33">
        <v>122177</v>
      </c>
      <c r="AI138" s="33">
        <v>0</v>
      </c>
      <c r="AJ138" s="33">
        <v>233710</v>
      </c>
      <c r="AK138" s="33">
        <v>0</v>
      </c>
      <c r="AL138" s="33">
        <v>0</v>
      </c>
      <c r="AM138" s="33">
        <v>0</v>
      </c>
      <c r="AN138" s="33">
        <v>6427</v>
      </c>
      <c r="AO138" s="33">
        <v>6370</v>
      </c>
      <c r="AP138" s="35">
        <v>206</v>
      </c>
    </row>
    <row r="139" spans="1:42">
      <c r="A139" s="5">
        <v>17</v>
      </c>
      <c r="B139" s="22" t="s">
        <v>288</v>
      </c>
      <c r="C139" s="17" t="s">
        <v>280</v>
      </c>
      <c r="D139" s="22" t="s">
        <v>441</v>
      </c>
      <c r="E139" s="22" t="s">
        <v>81</v>
      </c>
      <c r="F139" s="33">
        <v>13588964</v>
      </c>
      <c r="G139" s="33">
        <v>614766</v>
      </c>
      <c r="H139" s="33">
        <v>6446881</v>
      </c>
      <c r="I139" s="33">
        <v>2107094</v>
      </c>
      <c r="J139" s="33">
        <v>2977241</v>
      </c>
      <c r="K139" s="33">
        <v>13172465</v>
      </c>
      <c r="L139" s="28">
        <v>1.03</v>
      </c>
      <c r="M139" s="31">
        <f>923264/13110562</f>
        <v>7.0421390021266822E-2</v>
      </c>
      <c r="N139" s="33">
        <v>921525</v>
      </c>
      <c r="O139" s="33">
        <v>232651</v>
      </c>
      <c r="P139" s="33">
        <v>0</v>
      </c>
      <c r="Q139" s="33">
        <v>577624</v>
      </c>
      <c r="R139" s="33">
        <v>48430</v>
      </c>
      <c r="S139" s="33">
        <v>67241</v>
      </c>
      <c r="T139" s="33">
        <f>88654+1994</f>
        <v>90648</v>
      </c>
      <c r="U139" s="33">
        <v>345</v>
      </c>
      <c r="V139" s="33">
        <v>16907</v>
      </c>
      <c r="W139" s="33">
        <v>8750</v>
      </c>
      <c r="X139" s="33">
        <v>3014</v>
      </c>
      <c r="Y139" s="33">
        <f>16718+28880+33490</f>
        <v>79088</v>
      </c>
      <c r="Z139" s="33">
        <v>9670</v>
      </c>
      <c r="AA139" s="33">
        <f>2077+604+656</f>
        <v>3337</v>
      </c>
      <c r="AB139" s="33">
        <v>571</v>
      </c>
      <c r="AC139" s="33">
        <v>10144</v>
      </c>
      <c r="AD139" s="33">
        <v>2298</v>
      </c>
      <c r="AE139" s="33">
        <v>946996</v>
      </c>
      <c r="AF139" s="31">
        <f t="shared" si="8"/>
        <v>2.4266205981862648E-3</v>
      </c>
      <c r="AG139" s="33">
        <v>122177</v>
      </c>
      <c r="AH139" s="33">
        <v>122177</v>
      </c>
      <c r="AI139" s="33">
        <v>0</v>
      </c>
      <c r="AJ139" s="33">
        <v>194086</v>
      </c>
      <c r="AK139" s="33">
        <v>33097</v>
      </c>
      <c r="AL139" s="33">
        <v>33097</v>
      </c>
      <c r="AM139" s="33">
        <v>0</v>
      </c>
      <c r="AN139" s="33">
        <v>4091</v>
      </c>
      <c r="AO139" s="33">
        <v>4009</v>
      </c>
      <c r="AP139" s="35">
        <v>42</v>
      </c>
    </row>
    <row r="140" spans="1:42">
      <c r="A140" s="5">
        <v>17</v>
      </c>
      <c r="B140" s="22" t="s">
        <v>314</v>
      </c>
      <c r="C140" s="17" t="s">
        <v>255</v>
      </c>
      <c r="D140" s="22" t="s">
        <v>276</v>
      </c>
      <c r="E140" s="22" t="s">
        <v>360</v>
      </c>
      <c r="F140" s="33">
        <v>12849316</v>
      </c>
      <c r="G140" s="33">
        <v>720219</v>
      </c>
      <c r="H140" s="33">
        <v>4661495</v>
      </c>
      <c r="I140" s="33">
        <v>3244792</v>
      </c>
      <c r="J140" s="33">
        <v>1670818</v>
      </c>
      <c r="K140" s="33">
        <v>12000660</v>
      </c>
      <c r="L140" s="28">
        <v>1.34</v>
      </c>
      <c r="M140" s="31">
        <f>833017/11761684</f>
        <v>7.0824637016264E-2</v>
      </c>
      <c r="N140" s="33">
        <v>833017</v>
      </c>
      <c r="O140" s="33">
        <v>368102</v>
      </c>
      <c r="P140" s="33">
        <v>0</v>
      </c>
      <c r="Q140" s="33">
        <v>535806</v>
      </c>
      <c r="R140" s="33">
        <v>51831</v>
      </c>
      <c r="S140" s="33">
        <v>68038</v>
      </c>
      <c r="T140" s="33">
        <v>121965</v>
      </c>
      <c r="U140" s="33">
        <v>10198</v>
      </c>
      <c r="V140" s="33">
        <v>15000</v>
      </c>
      <c r="W140" s="33">
        <v>7600</v>
      </c>
      <c r="X140" s="33">
        <v>750</v>
      </c>
      <c r="Y140" s="33">
        <f>13545+19964+29661</f>
        <v>63170</v>
      </c>
      <c r="Z140" s="33">
        <v>7859</v>
      </c>
      <c r="AA140" s="33">
        <v>0</v>
      </c>
      <c r="AB140" s="33">
        <v>3120</v>
      </c>
      <c r="AC140" s="33">
        <v>92626</v>
      </c>
      <c r="AD140" s="33">
        <v>0</v>
      </c>
      <c r="AE140" s="33">
        <v>1037571</v>
      </c>
      <c r="AF140" s="31">
        <f t="shared" si="8"/>
        <v>0</v>
      </c>
      <c r="AG140" s="33">
        <v>122177</v>
      </c>
      <c r="AH140" s="33">
        <v>122177</v>
      </c>
      <c r="AI140" s="33">
        <v>0</v>
      </c>
      <c r="AJ140" s="33">
        <v>147080</v>
      </c>
      <c r="AK140" s="33">
        <v>0</v>
      </c>
      <c r="AL140" s="33">
        <v>0</v>
      </c>
      <c r="AM140" s="33">
        <v>0</v>
      </c>
      <c r="AN140" s="33">
        <v>3984</v>
      </c>
      <c r="AO140" s="33">
        <v>4769</v>
      </c>
      <c r="AP140" s="35">
        <v>21</v>
      </c>
    </row>
    <row r="141" spans="1:42">
      <c r="A141" s="5">
        <v>17</v>
      </c>
      <c r="B141" s="22" t="s">
        <v>322</v>
      </c>
      <c r="C141" s="17" t="s">
        <v>325</v>
      </c>
      <c r="D141" s="22" t="s">
        <v>179</v>
      </c>
      <c r="E141" s="22" t="s">
        <v>81</v>
      </c>
      <c r="F141" s="33">
        <v>14295007</v>
      </c>
      <c r="G141" s="33">
        <v>495674</v>
      </c>
      <c r="H141" s="33">
        <v>7548742</v>
      </c>
      <c r="I141" s="33">
        <v>1922158</v>
      </c>
      <c r="J141" s="33">
        <v>1504302</v>
      </c>
      <c r="K141" s="33">
        <v>13093157</v>
      </c>
      <c r="L141" s="28">
        <v>1.67</v>
      </c>
      <c r="M141" s="31">
        <f>961456/13048537</f>
        <v>7.3683049678289605E-2</v>
      </c>
      <c r="N141" s="33">
        <v>958534</v>
      </c>
      <c r="O141" s="33">
        <v>220101</v>
      </c>
      <c r="P141" s="33">
        <v>0</v>
      </c>
      <c r="Q141" s="33">
        <v>472859</v>
      </c>
      <c r="R141" s="33">
        <v>44878</v>
      </c>
      <c r="S141" s="33">
        <v>45979</v>
      </c>
      <c r="T141" s="33">
        <f>59857+1367</f>
        <v>61224</v>
      </c>
      <c r="U141" s="33">
        <v>7400</v>
      </c>
      <c r="V141" s="33">
        <v>23797</v>
      </c>
      <c r="W141" s="33">
        <v>8150</v>
      </c>
      <c r="X141" s="33">
        <v>5053</v>
      </c>
      <c r="Y141" s="33">
        <f>25757+56949+54062</f>
        <v>136768</v>
      </c>
      <c r="Z141" s="33">
        <v>9536</v>
      </c>
      <c r="AA141" s="33">
        <f>5678+493+324</f>
        <v>6495</v>
      </c>
      <c r="AB141" s="33">
        <v>1879</v>
      </c>
      <c r="AC141" s="33">
        <v>31670</v>
      </c>
      <c r="AD141" s="33">
        <v>0</v>
      </c>
      <c r="AE141" s="33">
        <v>1009196</v>
      </c>
      <c r="AF141" s="31">
        <f t="shared" si="8"/>
        <v>0</v>
      </c>
      <c r="AG141" s="33">
        <v>122177</v>
      </c>
      <c r="AH141" s="33">
        <v>122177</v>
      </c>
      <c r="AI141" s="33">
        <v>0</v>
      </c>
      <c r="AJ141" s="33">
        <v>136934</v>
      </c>
      <c r="AK141" s="33">
        <v>0</v>
      </c>
      <c r="AL141" s="33">
        <v>0</v>
      </c>
      <c r="AM141" s="33">
        <v>0</v>
      </c>
      <c r="AN141" s="33">
        <v>4230</v>
      </c>
      <c r="AO141" s="33">
        <v>4029</v>
      </c>
      <c r="AP141" s="35">
        <v>59</v>
      </c>
    </row>
    <row r="142" spans="1:42">
      <c r="A142" s="5">
        <v>17</v>
      </c>
      <c r="B142" s="22" t="s">
        <v>456</v>
      </c>
      <c r="C142" s="17" t="s">
        <v>23</v>
      </c>
      <c r="D142" s="22" t="s">
        <v>418</v>
      </c>
      <c r="E142" s="22" t="s">
        <v>360</v>
      </c>
      <c r="F142" s="33">
        <v>2639080</v>
      </c>
      <c r="G142" s="33">
        <v>98507</v>
      </c>
      <c r="H142" s="33">
        <v>689051</v>
      </c>
      <c r="I142" s="33">
        <v>428539</v>
      </c>
      <c r="J142" s="33">
        <v>890043</v>
      </c>
      <c r="K142" s="33">
        <v>2556917</v>
      </c>
      <c r="L142" s="28">
        <v>1</v>
      </c>
      <c r="M142" s="31">
        <f>246699/2466994</f>
        <v>9.9999837859354346E-2</v>
      </c>
      <c r="N142" s="33">
        <v>247277</v>
      </c>
      <c r="O142" s="33">
        <v>14639</v>
      </c>
      <c r="P142" s="33">
        <v>0</v>
      </c>
      <c r="Q142" s="33">
        <v>66902</v>
      </c>
      <c r="R142" s="33">
        <v>6186</v>
      </c>
      <c r="S142" s="33">
        <v>3069</v>
      </c>
      <c r="T142" s="33">
        <v>11787</v>
      </c>
      <c r="U142" s="33">
        <v>4515</v>
      </c>
      <c r="V142" s="33">
        <v>27389</v>
      </c>
      <c r="W142" s="33">
        <v>6000</v>
      </c>
      <c r="X142" s="33">
        <v>38560</v>
      </c>
      <c r="Y142" s="33">
        <f>3123+3968+2149</f>
        <v>9240</v>
      </c>
      <c r="Z142" s="33">
        <v>1944</v>
      </c>
      <c r="AA142" s="33">
        <f>17+65+68</f>
        <v>150</v>
      </c>
      <c r="AB142" s="33">
        <v>1609</v>
      </c>
      <c r="AC142" s="33">
        <v>36540</v>
      </c>
      <c r="AD142" s="33">
        <v>42642</v>
      </c>
      <c r="AE142" s="33">
        <v>233427</v>
      </c>
      <c r="AF142" s="31">
        <f t="shared" si="8"/>
        <v>0.18267809636417381</v>
      </c>
      <c r="AG142" s="33">
        <v>95140</v>
      </c>
      <c r="AH142" s="33">
        <v>95140</v>
      </c>
      <c r="AI142" s="33">
        <v>0</v>
      </c>
      <c r="AJ142" s="33">
        <v>15611</v>
      </c>
      <c r="AK142" s="33">
        <v>0</v>
      </c>
      <c r="AL142" s="33">
        <v>0</v>
      </c>
      <c r="AM142" s="33">
        <v>0</v>
      </c>
      <c r="AN142" s="33">
        <v>613</v>
      </c>
      <c r="AO142" s="33">
        <v>526</v>
      </c>
      <c r="AP142" s="35">
        <v>3</v>
      </c>
    </row>
    <row r="143" spans="1:42">
      <c r="A143" s="5">
        <v>17</v>
      </c>
      <c r="B143" s="22" t="s">
        <v>547</v>
      </c>
      <c r="C143" s="17" t="s">
        <v>381</v>
      </c>
      <c r="D143" s="22" t="s">
        <v>362</v>
      </c>
      <c r="E143" s="22" t="s">
        <v>81</v>
      </c>
      <c r="F143" s="33">
        <v>20053186</v>
      </c>
      <c r="G143" s="33">
        <v>662314</v>
      </c>
      <c r="H143" s="33">
        <v>9243668</v>
      </c>
      <c r="I143" s="33">
        <v>3529640</v>
      </c>
      <c r="J143" s="33">
        <v>3905037</v>
      </c>
      <c r="K143" s="33">
        <v>19222173</v>
      </c>
      <c r="L143" s="28">
        <v>1.08</v>
      </c>
      <c r="M143" s="31"/>
      <c r="N143" s="33"/>
      <c r="O143" s="33">
        <v>311185</v>
      </c>
      <c r="P143" s="33">
        <v>0</v>
      </c>
      <c r="Q143" s="33">
        <v>729276</v>
      </c>
      <c r="R143" s="33">
        <v>59021</v>
      </c>
      <c r="S143" s="33">
        <v>102435</v>
      </c>
      <c r="T143" s="33">
        <v>145158</v>
      </c>
      <c r="U143" s="33">
        <v>4049</v>
      </c>
      <c r="V143" s="33">
        <v>13866</v>
      </c>
      <c r="W143" s="33">
        <v>17400</v>
      </c>
      <c r="X143" s="33">
        <v>0</v>
      </c>
      <c r="Y143" s="33">
        <f>27479+47989+29634</f>
        <v>105102</v>
      </c>
      <c r="Z143" s="33">
        <v>7432</v>
      </c>
      <c r="AA143" s="33">
        <v>7253</v>
      </c>
      <c r="AB143" s="33">
        <v>1015</v>
      </c>
      <c r="AC143" s="33">
        <v>19946</v>
      </c>
      <c r="AD143" s="33" t="s">
        <v>345</v>
      </c>
      <c r="AE143" s="33">
        <v>1278595</v>
      </c>
      <c r="AF143" s="31">
        <f t="shared" si="8"/>
        <v>0</v>
      </c>
      <c r="AG143" s="33">
        <v>122270</v>
      </c>
      <c r="AH143" s="33">
        <v>122177</v>
      </c>
      <c r="AI143" s="33">
        <v>93</v>
      </c>
      <c r="AJ143" s="33">
        <v>156341</v>
      </c>
      <c r="AK143" s="33">
        <v>0</v>
      </c>
      <c r="AL143" s="33">
        <v>0</v>
      </c>
      <c r="AM143" s="33">
        <v>0</v>
      </c>
      <c r="AN143" s="33">
        <v>5367</v>
      </c>
      <c r="AO143" s="33" t="s">
        <v>345</v>
      </c>
      <c r="AP143" s="35">
        <v>73</v>
      </c>
    </row>
    <row r="144" spans="1:42">
      <c r="A144" s="5">
        <v>18</v>
      </c>
      <c r="B144" s="22" t="s">
        <v>74</v>
      </c>
      <c r="C144" s="17" t="s">
        <v>127</v>
      </c>
      <c r="D144" s="22" t="s">
        <v>479</v>
      </c>
      <c r="E144" s="22" t="s">
        <v>526</v>
      </c>
      <c r="F144" s="33">
        <v>6586988</v>
      </c>
      <c r="G144" s="33">
        <v>560225</v>
      </c>
      <c r="H144" s="33">
        <f>2437346+152714</f>
        <v>2590060</v>
      </c>
      <c r="I144" s="33">
        <f>1505591+44021</f>
        <v>1549612</v>
      </c>
      <c r="J144" s="33">
        <f>1317385+360</f>
        <v>1317745</v>
      </c>
      <c r="K144" s="33">
        <v>5993286</v>
      </c>
      <c r="L144" s="28">
        <v>1.25</v>
      </c>
      <c r="M144" s="31">
        <f>471511/5990981</f>
        <v>7.8703471100976613E-2</v>
      </c>
      <c r="N144" s="33">
        <v>468892</v>
      </c>
      <c r="O144" s="33">
        <v>107760</v>
      </c>
      <c r="P144" s="33">
        <v>0</v>
      </c>
      <c r="Q144" s="33">
        <v>223820</v>
      </c>
      <c r="R144" s="33">
        <v>16803</v>
      </c>
      <c r="S144" s="33">
        <v>32462</v>
      </c>
      <c r="T144" s="33">
        <f>30709+0</f>
        <v>30709</v>
      </c>
      <c r="U144" s="33">
        <v>0</v>
      </c>
      <c r="V144" s="33">
        <v>16470</v>
      </c>
      <c r="W144" s="33">
        <v>7600</v>
      </c>
      <c r="X144" s="33">
        <v>2000</v>
      </c>
      <c r="Y144" s="33">
        <f>8359+9013+5874</f>
        <v>23246</v>
      </c>
      <c r="Z144" s="33">
        <v>13376</v>
      </c>
      <c r="AA144" s="33">
        <f>2109+1098+500</f>
        <v>3707</v>
      </c>
      <c r="AB144" s="33">
        <v>3255</v>
      </c>
      <c r="AC144" s="33">
        <v>20985</v>
      </c>
      <c r="AD144" s="33">
        <v>0</v>
      </c>
      <c r="AE144" s="33">
        <v>422791</v>
      </c>
      <c r="AF144" s="31">
        <f t="shared" si="8"/>
        <v>0</v>
      </c>
      <c r="AG144" s="33">
        <v>122177</v>
      </c>
      <c r="AH144" s="33">
        <v>122177</v>
      </c>
      <c r="AI144" s="33">
        <v>0</v>
      </c>
      <c r="AJ144" s="33">
        <v>63236</v>
      </c>
      <c r="AK144" s="33">
        <v>0</v>
      </c>
      <c r="AL144" s="33">
        <v>0</v>
      </c>
      <c r="AM144" s="33">
        <v>0</v>
      </c>
      <c r="AN144" s="33">
        <v>1825</v>
      </c>
      <c r="AO144" s="33">
        <v>1947</v>
      </c>
      <c r="AP144" s="35">
        <v>34</v>
      </c>
    </row>
    <row r="145" spans="1:42">
      <c r="A145" s="5">
        <v>18</v>
      </c>
      <c r="B145" s="22" t="s">
        <v>113</v>
      </c>
      <c r="C145" s="17" t="s">
        <v>275</v>
      </c>
      <c r="D145" s="22" t="s">
        <v>24</v>
      </c>
      <c r="E145" s="22" t="s">
        <v>13</v>
      </c>
      <c r="F145" s="33">
        <v>1147015</v>
      </c>
      <c r="G145" s="33">
        <v>29448</v>
      </c>
      <c r="H145" s="33">
        <v>361140</v>
      </c>
      <c r="I145" s="33">
        <v>269693</v>
      </c>
      <c r="J145" s="33">
        <v>309811</v>
      </c>
      <c r="K145" s="33">
        <v>1141969</v>
      </c>
      <c r="L145" s="28">
        <v>1.43</v>
      </c>
      <c r="M145" s="31">
        <f>113255/1135081</f>
        <v>9.9777020318373752E-2</v>
      </c>
      <c r="N145" s="33">
        <v>113296</v>
      </c>
      <c r="O145" s="33">
        <v>2039</v>
      </c>
      <c r="P145" s="33">
        <v>0</v>
      </c>
      <c r="Q145" s="33">
        <v>39121</v>
      </c>
      <c r="R145" s="33">
        <v>4451</v>
      </c>
      <c r="S145" s="33">
        <v>353</v>
      </c>
      <c r="T145" s="33">
        <v>9600</v>
      </c>
      <c r="U145" s="33">
        <v>0</v>
      </c>
      <c r="V145" s="33">
        <v>4227</v>
      </c>
      <c r="W145" s="33">
        <v>3000</v>
      </c>
      <c r="X145" s="33">
        <v>0</v>
      </c>
      <c r="Y145" s="33">
        <f>3143+1959+1932</f>
        <v>7034</v>
      </c>
      <c r="Z145" s="33">
        <v>2414</v>
      </c>
      <c r="AA145" s="33">
        <v>391</v>
      </c>
      <c r="AB145" s="33">
        <v>600</v>
      </c>
      <c r="AC145" s="33">
        <v>481</v>
      </c>
      <c r="AD145" s="33">
        <v>31391</v>
      </c>
      <c r="AE145" s="33">
        <v>73248</v>
      </c>
      <c r="AF145" s="31">
        <f t="shared" si="8"/>
        <v>0.4285577763215378</v>
      </c>
      <c r="AG145" s="33">
        <v>48700</v>
      </c>
      <c r="AH145" s="33">
        <v>51835</v>
      </c>
      <c r="AI145" s="33">
        <v>0</v>
      </c>
      <c r="AJ145" s="33">
        <v>2230</v>
      </c>
      <c r="AK145" s="33">
        <v>0</v>
      </c>
      <c r="AL145" s="33">
        <v>0</v>
      </c>
      <c r="AM145" s="33">
        <v>0</v>
      </c>
      <c r="AN145" s="33">
        <v>205</v>
      </c>
      <c r="AO145" s="33">
        <v>247</v>
      </c>
      <c r="AP145" s="35">
        <v>10</v>
      </c>
    </row>
    <row r="146" spans="1:42">
      <c r="A146" s="5">
        <v>18</v>
      </c>
      <c r="B146" s="22" t="s">
        <v>145</v>
      </c>
      <c r="C146" s="17" t="s">
        <v>428</v>
      </c>
      <c r="D146" s="22" t="s">
        <v>197</v>
      </c>
      <c r="E146" s="22" t="s">
        <v>340</v>
      </c>
      <c r="F146" s="33">
        <v>1512591</v>
      </c>
      <c r="G146" s="33">
        <v>59445</v>
      </c>
      <c r="H146" s="33">
        <v>822173</v>
      </c>
      <c r="I146" s="33">
        <v>129730</v>
      </c>
      <c r="J146" s="33">
        <v>285103</v>
      </c>
      <c r="K146" s="33">
        <v>1446057</v>
      </c>
      <c r="L146" s="28">
        <v>1.43</v>
      </c>
      <c r="M146" s="31">
        <f>144586/1445863</f>
        <v>9.9999792511462016E-2</v>
      </c>
      <c r="N146" s="33">
        <v>144552</v>
      </c>
      <c r="O146" s="33">
        <v>981</v>
      </c>
      <c r="P146" s="33">
        <v>0</v>
      </c>
      <c r="Q146" s="33">
        <v>56005</v>
      </c>
      <c r="R146" s="33">
        <v>0</v>
      </c>
      <c r="S146" s="33">
        <v>0</v>
      </c>
      <c r="T146" s="33">
        <f>18000+0</f>
        <v>18000</v>
      </c>
      <c r="U146" s="33">
        <v>3140</v>
      </c>
      <c r="V146" s="33">
        <v>8272</v>
      </c>
      <c r="W146" s="33">
        <v>8250</v>
      </c>
      <c r="X146" s="33">
        <v>0</v>
      </c>
      <c r="Y146" s="33">
        <f>3023+2647+2341</f>
        <v>8011</v>
      </c>
      <c r="Z146" s="33">
        <v>1907</v>
      </c>
      <c r="AA146" s="33">
        <f>6095+2140+994</f>
        <v>9229</v>
      </c>
      <c r="AB146" s="33">
        <v>0</v>
      </c>
      <c r="AC146" s="33">
        <v>639</v>
      </c>
      <c r="AD146" s="33">
        <v>82624</v>
      </c>
      <c r="AE146" s="33">
        <v>117199</v>
      </c>
      <c r="AF146" s="31">
        <f t="shared" si="8"/>
        <v>0.70498895041766563</v>
      </c>
      <c r="AG146" s="33">
        <v>30920</v>
      </c>
      <c r="AH146" s="33">
        <v>30920</v>
      </c>
      <c r="AI146" s="33">
        <v>0</v>
      </c>
      <c r="AJ146" s="33">
        <v>236</v>
      </c>
      <c r="AK146" s="33">
        <v>0</v>
      </c>
      <c r="AL146" s="33">
        <v>0</v>
      </c>
      <c r="AM146" s="33">
        <v>0</v>
      </c>
      <c r="AN146" s="33">
        <v>605</v>
      </c>
      <c r="AO146" s="33">
        <v>468</v>
      </c>
      <c r="AP146" s="35">
        <v>1</v>
      </c>
    </row>
    <row r="147" spans="1:42">
      <c r="A147" s="5">
        <v>18</v>
      </c>
      <c r="B147" s="22" t="s">
        <v>171</v>
      </c>
      <c r="C147" s="17" t="s">
        <v>268</v>
      </c>
      <c r="D147" s="22" t="s">
        <v>396</v>
      </c>
      <c r="E147" s="22" t="s">
        <v>233</v>
      </c>
      <c r="F147" s="33">
        <v>2059980</v>
      </c>
      <c r="G147" s="33">
        <v>49177</v>
      </c>
      <c r="H147" s="33">
        <f>955633+8287</f>
        <v>963920</v>
      </c>
      <c r="I147" s="33">
        <v>211962</v>
      </c>
      <c r="J147" s="33">
        <f>527991+93</f>
        <v>528084</v>
      </c>
      <c r="K147" s="33">
        <v>1988117</v>
      </c>
      <c r="L147" s="28">
        <v>1.37</v>
      </c>
      <c r="M147" s="31">
        <f>202487/2024869</f>
        <v>0.10000004938591089</v>
      </c>
      <c r="N147" s="33">
        <v>201202</v>
      </c>
      <c r="O147" s="33">
        <v>17805</v>
      </c>
      <c r="P147" s="33">
        <v>0</v>
      </c>
      <c r="Q147" s="33">
        <v>60118</v>
      </c>
      <c r="R147" s="33">
        <v>5413</v>
      </c>
      <c r="S147" s="33">
        <v>11412</v>
      </c>
      <c r="T147" s="33">
        <v>9964</v>
      </c>
      <c r="U147" s="33">
        <v>0</v>
      </c>
      <c r="V147" s="33">
        <v>0</v>
      </c>
      <c r="W147" s="33">
        <v>4700</v>
      </c>
      <c r="X147" s="33">
        <v>0</v>
      </c>
      <c r="Y147" s="33">
        <f>1150+3171+2613</f>
        <v>6934</v>
      </c>
      <c r="Z147" s="33">
        <v>0</v>
      </c>
      <c r="AA147" s="33">
        <v>0</v>
      </c>
      <c r="AB147" s="33">
        <v>3092</v>
      </c>
      <c r="AC147" s="33">
        <v>1917</v>
      </c>
      <c r="AD147" s="33">
        <v>75603</v>
      </c>
      <c r="AE147" s="33">
        <v>105483</v>
      </c>
      <c r="AF147" s="31">
        <f t="shared" si="8"/>
        <v>0.71673160604078379</v>
      </c>
      <c r="AG147" s="33">
        <v>100079</v>
      </c>
      <c r="AH147" s="33">
        <v>100312</v>
      </c>
      <c r="AI147" s="33">
        <v>0</v>
      </c>
      <c r="AJ147" s="33">
        <v>18038</v>
      </c>
      <c r="AK147" s="33">
        <v>106</v>
      </c>
      <c r="AL147" s="33">
        <v>106</v>
      </c>
      <c r="AM147" s="33">
        <v>0</v>
      </c>
      <c r="AN147" s="33">
        <v>424</v>
      </c>
      <c r="AO147" s="33">
        <v>428</v>
      </c>
      <c r="AP147" s="35">
        <v>1</v>
      </c>
    </row>
    <row r="148" spans="1:42">
      <c r="A148" s="5">
        <v>18</v>
      </c>
      <c r="B148" s="22" t="s">
        <v>228</v>
      </c>
      <c r="C148" s="17" t="s">
        <v>128</v>
      </c>
      <c r="D148" s="22" t="s">
        <v>462</v>
      </c>
      <c r="E148" s="22" t="s">
        <v>526</v>
      </c>
      <c r="F148" s="33">
        <v>9998069</v>
      </c>
      <c r="G148" s="33">
        <v>1113244</v>
      </c>
      <c r="H148" s="33">
        <f>4850494+23428</f>
        <v>4873922</v>
      </c>
      <c r="I148" s="33">
        <f>1087514+26020</f>
        <v>1113534</v>
      </c>
      <c r="J148" s="33">
        <f>2295884+1985</f>
        <v>2297869</v>
      </c>
      <c r="K148" s="33">
        <v>9211975</v>
      </c>
      <c r="L148" s="28">
        <v>0.54</v>
      </c>
      <c r="M148" s="31">
        <f>596349/9208019</f>
        <v>6.4764093123613239E-2</v>
      </c>
      <c r="N148" s="33">
        <v>596345</v>
      </c>
      <c r="O148" s="33">
        <v>127485</v>
      </c>
      <c r="P148" s="33">
        <v>0</v>
      </c>
      <c r="Q148" s="33">
        <v>261159</v>
      </c>
      <c r="R148" s="33">
        <v>22510</v>
      </c>
      <c r="S148" s="33">
        <v>63316</v>
      </c>
      <c r="T148" s="33">
        <v>59130</v>
      </c>
      <c r="U148" s="33">
        <v>1555</v>
      </c>
      <c r="V148" s="33">
        <v>25755</v>
      </c>
      <c r="W148" s="33">
        <v>15100</v>
      </c>
      <c r="X148" s="33">
        <v>1035</v>
      </c>
      <c r="Y148" s="33">
        <f>9288+18000+13756</f>
        <v>41044</v>
      </c>
      <c r="Z148" s="33">
        <v>6657</v>
      </c>
      <c r="AA148" s="33">
        <v>569</v>
      </c>
      <c r="AB148" s="33">
        <v>1134</v>
      </c>
      <c r="AC148" s="33">
        <v>13762</v>
      </c>
      <c r="AD148" s="33">
        <v>416</v>
      </c>
      <c r="AE148" s="33">
        <v>539966</v>
      </c>
      <c r="AF148" s="31">
        <f t="shared" si="8"/>
        <v>7.7041887822566605E-4</v>
      </c>
      <c r="AG148" s="33">
        <v>122176</v>
      </c>
      <c r="AH148" s="33">
        <v>122176</v>
      </c>
      <c r="AI148" s="33">
        <v>0</v>
      </c>
      <c r="AJ148" s="33">
        <v>78603</v>
      </c>
      <c r="AK148" s="33">
        <v>0</v>
      </c>
      <c r="AL148" s="33">
        <v>0</v>
      </c>
      <c r="AM148" s="33">
        <v>0</v>
      </c>
      <c r="AN148" s="33">
        <v>1356</v>
      </c>
      <c r="AO148" s="33">
        <v>1334</v>
      </c>
      <c r="AP148" s="35">
        <v>2</v>
      </c>
    </row>
    <row r="149" spans="1:42">
      <c r="A149" s="5">
        <v>18</v>
      </c>
      <c r="B149" s="22" t="s">
        <v>265</v>
      </c>
      <c r="C149" s="17" t="s">
        <v>249</v>
      </c>
      <c r="D149" s="22" t="s">
        <v>59</v>
      </c>
      <c r="E149" s="22" t="s">
        <v>233</v>
      </c>
      <c r="F149" s="33">
        <v>1903074</v>
      </c>
      <c r="G149" s="33">
        <v>29517</v>
      </c>
      <c r="H149" s="33">
        <v>794314</v>
      </c>
      <c r="I149" s="33">
        <v>333869</v>
      </c>
      <c r="J149" s="33">
        <v>422550</v>
      </c>
      <c r="K149" s="33">
        <v>1848100</v>
      </c>
      <c r="L149" s="28">
        <v>0.85</v>
      </c>
      <c r="M149" s="31">
        <v>0.1</v>
      </c>
      <c r="N149" s="33">
        <v>185540</v>
      </c>
      <c r="O149" s="33">
        <v>1333</v>
      </c>
      <c r="P149" s="33">
        <v>0</v>
      </c>
      <c r="Q149" s="33">
        <v>66886</v>
      </c>
      <c r="R149" s="33">
        <v>6610</v>
      </c>
      <c r="S149" s="33">
        <v>4364</v>
      </c>
      <c r="T149" s="33">
        <f>6781+834</f>
        <v>7615</v>
      </c>
      <c r="U149" s="33">
        <v>595</v>
      </c>
      <c r="V149" s="33">
        <v>14477</v>
      </c>
      <c r="W149" s="33">
        <v>4700</v>
      </c>
      <c r="X149" s="33">
        <v>0</v>
      </c>
      <c r="Y149" s="33">
        <f>1904+3050+2023</f>
        <v>6977</v>
      </c>
      <c r="Z149" s="33">
        <v>46</v>
      </c>
      <c r="AA149" s="33">
        <f>884+213+27+74</f>
        <v>1198</v>
      </c>
      <c r="AB149" s="33">
        <v>2954</v>
      </c>
      <c r="AC149" s="33">
        <v>7004</v>
      </c>
      <c r="AD149" s="33">
        <v>24336</v>
      </c>
      <c r="AE149" s="33">
        <v>129580</v>
      </c>
      <c r="AF149" s="31">
        <v>0.18809999999999999</v>
      </c>
      <c r="AG149" s="33">
        <v>60963</v>
      </c>
      <c r="AH149" s="33">
        <v>60963</v>
      </c>
      <c r="AI149" s="33">
        <v>0</v>
      </c>
      <c r="AJ149" s="33">
        <v>429</v>
      </c>
      <c r="AK149" s="33">
        <v>0</v>
      </c>
      <c r="AL149" s="33">
        <v>0</v>
      </c>
      <c r="AM149" s="33">
        <v>0</v>
      </c>
      <c r="AN149" s="33">
        <v>522</v>
      </c>
      <c r="AO149" s="33">
        <v>700</v>
      </c>
      <c r="AP149" s="35">
        <v>2</v>
      </c>
    </row>
    <row r="150" spans="1:42">
      <c r="A150" s="5">
        <v>18</v>
      </c>
      <c r="B150" s="22" t="s">
        <v>289</v>
      </c>
      <c r="C150" s="17" t="s">
        <v>177</v>
      </c>
      <c r="D150" s="22" t="s">
        <v>161</v>
      </c>
      <c r="E150" s="22" t="s">
        <v>374</v>
      </c>
      <c r="F150" s="33">
        <v>9390840</v>
      </c>
      <c r="G150" s="33">
        <v>680384</v>
      </c>
      <c r="H150" s="33">
        <f>23762+4087899</f>
        <v>4111661</v>
      </c>
      <c r="I150" s="33">
        <v>1737735</v>
      </c>
      <c r="J150" s="33">
        <v>1999964</v>
      </c>
      <c r="K150" s="33">
        <v>9198026</v>
      </c>
      <c r="L150" s="28">
        <v>1.7</v>
      </c>
      <c r="M150" s="31">
        <f>460437/9195116</f>
        <v>5.0074082806568179E-2</v>
      </c>
      <c r="N150" s="33">
        <v>456761</v>
      </c>
      <c r="O150" s="33">
        <v>103658</v>
      </c>
      <c r="P150" s="33">
        <v>0</v>
      </c>
      <c r="Q150" s="33">
        <v>196738</v>
      </c>
      <c r="R150" s="33">
        <v>19427</v>
      </c>
      <c r="S150" s="33">
        <v>36733</v>
      </c>
      <c r="T150" s="33">
        <v>24930</v>
      </c>
      <c r="U150" s="33">
        <v>38</v>
      </c>
      <c r="V150" s="33">
        <v>2600</v>
      </c>
      <c r="W150" s="33">
        <v>7600</v>
      </c>
      <c r="X150" s="33">
        <v>1200</v>
      </c>
      <c r="Y150" s="33">
        <f>8074+12968+11844</f>
        <v>32886</v>
      </c>
      <c r="Z150" s="33">
        <v>4805</v>
      </c>
      <c r="AA150" s="33">
        <f>1770+477+252</f>
        <v>2499</v>
      </c>
      <c r="AB150" s="33">
        <v>390</v>
      </c>
      <c r="AC150" s="33">
        <v>11067</v>
      </c>
      <c r="AD150" s="33">
        <v>0</v>
      </c>
      <c r="AE150" s="33">
        <v>369333</v>
      </c>
      <c r="AF150" s="31">
        <f>IF(AE150=0,0,AD150/AE150)</f>
        <v>0</v>
      </c>
      <c r="AG150" s="33">
        <v>122177</v>
      </c>
      <c r="AH150" s="33">
        <v>122177</v>
      </c>
      <c r="AI150" s="33">
        <v>0</v>
      </c>
      <c r="AJ150" s="33">
        <v>85979</v>
      </c>
      <c r="AK150" s="33">
        <v>23192</v>
      </c>
      <c r="AL150" s="33">
        <v>23192</v>
      </c>
      <c r="AM150" s="33">
        <v>0</v>
      </c>
      <c r="AN150" s="33">
        <v>3246</v>
      </c>
      <c r="AO150" s="33">
        <v>3180</v>
      </c>
      <c r="AP150" s="35">
        <v>2</v>
      </c>
    </row>
    <row r="151" spans="1:42">
      <c r="A151" s="5">
        <v>18</v>
      </c>
      <c r="B151" s="22" t="s">
        <v>343</v>
      </c>
      <c r="C151" s="17" t="s">
        <v>428</v>
      </c>
      <c r="D151" s="22" t="s">
        <v>397</v>
      </c>
      <c r="E151" s="22" t="s">
        <v>374</v>
      </c>
      <c r="F151" s="33">
        <v>26329593</v>
      </c>
      <c r="G151" s="33">
        <v>1242854</v>
      </c>
      <c r="H151" s="33">
        <f>7885582+44521</f>
        <v>7930103</v>
      </c>
      <c r="I151" s="33">
        <v>4576704</v>
      </c>
      <c r="J151" s="33">
        <v>2891286</v>
      </c>
      <c r="K151" s="33">
        <v>18866656</v>
      </c>
      <c r="L151" s="28">
        <v>2.0099999999999998</v>
      </c>
      <c r="M151" s="31">
        <f>1261426/18863516</f>
        <v>6.6871202590227607E-2</v>
      </c>
      <c r="N151" s="33">
        <v>1260885</v>
      </c>
      <c r="O151" s="33">
        <v>157711</v>
      </c>
      <c r="P151" s="33">
        <v>19730</v>
      </c>
      <c r="Q151" s="33">
        <v>542277</v>
      </c>
      <c r="R151" s="33">
        <v>52626</v>
      </c>
      <c r="S151" s="33">
        <v>142987</v>
      </c>
      <c r="T151" s="33">
        <v>64062</v>
      </c>
      <c r="U151" s="33">
        <v>17505</v>
      </c>
      <c r="V151" s="33">
        <v>98443</v>
      </c>
      <c r="W151" s="33">
        <v>13950</v>
      </c>
      <c r="X151" s="33">
        <v>3381</v>
      </c>
      <c r="Y151" s="33">
        <f>19106+36750+29882</f>
        <v>85738</v>
      </c>
      <c r="Z151" s="33">
        <v>9293</v>
      </c>
      <c r="AA151" s="33">
        <f>2510+740+704</f>
        <v>3954</v>
      </c>
      <c r="AB151" s="33">
        <v>0</v>
      </c>
      <c r="AC151" s="33">
        <v>79027</v>
      </c>
      <c r="AD151" s="33">
        <v>0</v>
      </c>
      <c r="AE151" s="33">
        <v>1178692</v>
      </c>
      <c r="AF151" s="31">
        <f>IF(AE151=0,0,AD151/AE151)</f>
        <v>0</v>
      </c>
      <c r="AG151" s="33">
        <v>122177</v>
      </c>
      <c r="AH151" s="33">
        <v>122177</v>
      </c>
      <c r="AI151" s="33">
        <v>0</v>
      </c>
      <c r="AJ151" s="33">
        <v>226010</v>
      </c>
      <c r="AK151" s="33">
        <v>25632</v>
      </c>
      <c r="AL151" s="33">
        <v>25632</v>
      </c>
      <c r="AM151" s="33">
        <v>0</v>
      </c>
      <c r="AN151" s="33">
        <v>7752</v>
      </c>
      <c r="AO151" s="33">
        <v>7878</v>
      </c>
      <c r="AP151" s="35">
        <v>350</v>
      </c>
    </row>
    <row r="152" spans="1:42">
      <c r="A152" s="5">
        <v>18</v>
      </c>
      <c r="B152" s="22" t="s">
        <v>389</v>
      </c>
      <c r="C152" s="17" t="s">
        <v>524</v>
      </c>
      <c r="D152" s="22" t="s">
        <v>290</v>
      </c>
      <c r="E152" s="22" t="s">
        <v>526</v>
      </c>
      <c r="F152" s="33">
        <v>5309188</v>
      </c>
      <c r="G152" s="33">
        <v>472179</v>
      </c>
      <c r="H152" s="33">
        <f>2032547+63743</f>
        <v>2096290</v>
      </c>
      <c r="I152" s="33">
        <v>695611</v>
      </c>
      <c r="J152" s="33">
        <v>1254641</v>
      </c>
      <c r="K152" s="33">
        <v>4813554</v>
      </c>
      <c r="L152" s="28">
        <v>0.74</v>
      </c>
      <c r="M152" s="31">
        <f>474115/4749549</f>
        <v>9.9823162157080605E-2</v>
      </c>
      <c r="N152" s="33">
        <v>474481</v>
      </c>
      <c r="O152" s="33">
        <v>59868</v>
      </c>
      <c r="P152" s="33">
        <v>0</v>
      </c>
      <c r="Q152" s="33">
        <v>222831</v>
      </c>
      <c r="R152" s="33">
        <v>19823</v>
      </c>
      <c r="S152" s="33">
        <v>8590</v>
      </c>
      <c r="T152" s="33">
        <f>13800+1628</f>
        <v>15428</v>
      </c>
      <c r="U152" s="33">
        <v>2601</v>
      </c>
      <c r="V152" s="33">
        <v>18217</v>
      </c>
      <c r="W152" s="33">
        <v>8750</v>
      </c>
      <c r="X152" s="33">
        <v>0</v>
      </c>
      <c r="Y152" s="33">
        <f>8679+13976+13962</f>
        <v>36617</v>
      </c>
      <c r="Z152" s="33">
        <v>7848</v>
      </c>
      <c r="AA152" s="33">
        <v>522</v>
      </c>
      <c r="AB152" s="33">
        <v>0</v>
      </c>
      <c r="AC152" s="33">
        <v>30442</v>
      </c>
      <c r="AD152" s="33">
        <v>0</v>
      </c>
      <c r="AE152" s="33">
        <v>393659</v>
      </c>
      <c r="AF152" s="31">
        <f>IF(AE152=0,0,AD152/AE152)</f>
        <v>0</v>
      </c>
      <c r="AG152" s="33">
        <v>122177</v>
      </c>
      <c r="AH152" s="33">
        <v>122177</v>
      </c>
      <c r="AI152" s="33">
        <v>0</v>
      </c>
      <c r="AJ152" s="33">
        <v>43157</v>
      </c>
      <c r="AK152" s="33">
        <v>0</v>
      </c>
      <c r="AL152" s="33">
        <v>0</v>
      </c>
      <c r="AM152" s="33">
        <v>0</v>
      </c>
      <c r="AN152" s="33">
        <v>988</v>
      </c>
      <c r="AO152" s="33">
        <v>900</v>
      </c>
      <c r="AP152" s="35">
        <v>26</v>
      </c>
    </row>
    <row r="153" spans="1:42">
      <c r="A153" s="5">
        <v>18</v>
      </c>
      <c r="B153" s="22" t="s">
        <v>405</v>
      </c>
      <c r="C153" s="17" t="s">
        <v>56</v>
      </c>
      <c r="D153" s="22" t="s">
        <v>59</v>
      </c>
      <c r="E153" s="22" t="s">
        <v>233</v>
      </c>
      <c r="F153" s="33">
        <v>1767089</v>
      </c>
      <c r="G153" s="33">
        <v>26054</v>
      </c>
      <c r="H153" s="33">
        <f>814778+12233</f>
        <v>827011</v>
      </c>
      <c r="I153" s="33">
        <v>293516</v>
      </c>
      <c r="J153" s="33">
        <v>376670</v>
      </c>
      <c r="K153" s="33">
        <v>1817864</v>
      </c>
      <c r="L153" s="28">
        <v>1.44</v>
      </c>
      <c r="M153" s="31">
        <f>180948/1809482</f>
        <v>9.9999889471130407E-2</v>
      </c>
      <c r="N153" s="33">
        <v>180101</v>
      </c>
      <c r="O153" s="33">
        <v>289</v>
      </c>
      <c r="P153" s="33">
        <v>0</v>
      </c>
      <c r="Q153" s="33">
        <v>69369</v>
      </c>
      <c r="R153" s="33">
        <v>6472</v>
      </c>
      <c r="S153" s="33">
        <v>6177</v>
      </c>
      <c r="T153" s="33">
        <f>10560+0</f>
        <v>10560</v>
      </c>
      <c r="U153" s="33">
        <v>6800</v>
      </c>
      <c r="V153" s="33">
        <v>0</v>
      </c>
      <c r="W153" s="33">
        <v>4700</v>
      </c>
      <c r="X153" s="33">
        <v>0</v>
      </c>
      <c r="Y153" s="33">
        <f>918+3000+1950</f>
        <v>5868</v>
      </c>
      <c r="Z153" s="33">
        <v>0</v>
      </c>
      <c r="AA153" s="33">
        <v>0</v>
      </c>
      <c r="AB153" s="33">
        <v>385</v>
      </c>
      <c r="AC153" s="33">
        <v>5285</v>
      </c>
      <c r="AD153" s="33">
        <v>92578</v>
      </c>
      <c r="AE153" s="33">
        <v>117741</v>
      </c>
      <c r="AF153" s="31">
        <f>IF(AE153=0,0,AD153/AE153)</f>
        <v>0.78628515130668164</v>
      </c>
      <c r="AG153" s="33">
        <v>66618</v>
      </c>
      <c r="AH153" s="33">
        <v>66844</v>
      </c>
      <c r="AI153" s="33">
        <v>0</v>
      </c>
      <c r="AJ153" s="33">
        <v>4063</v>
      </c>
      <c r="AK153" s="33">
        <v>0</v>
      </c>
      <c r="AL153" s="33">
        <v>0</v>
      </c>
      <c r="AM153" s="33">
        <v>0</v>
      </c>
      <c r="AN153" s="33">
        <v>594</v>
      </c>
      <c r="AO153" s="33">
        <v>626</v>
      </c>
      <c r="AP153" s="35">
        <v>4</v>
      </c>
    </row>
    <row r="154" spans="1:42">
      <c r="A154" s="5">
        <v>18</v>
      </c>
      <c r="B154" s="22" t="s">
        <v>426</v>
      </c>
      <c r="C154" s="17" t="s">
        <v>428</v>
      </c>
      <c r="D154" s="22" t="s">
        <v>386</v>
      </c>
      <c r="E154" s="22" t="s">
        <v>374</v>
      </c>
      <c r="F154" s="33">
        <v>502386</v>
      </c>
      <c r="G154" s="33">
        <v>209105</v>
      </c>
      <c r="H154" s="33">
        <v>104177</v>
      </c>
      <c r="I154" s="33">
        <v>102370</v>
      </c>
      <c r="J154" s="33">
        <v>84851</v>
      </c>
      <c r="K154" s="33">
        <v>336688</v>
      </c>
      <c r="L154" s="28">
        <v>1.69</v>
      </c>
      <c r="M154" s="31">
        <v>0.1</v>
      </c>
      <c r="N154" s="33">
        <v>32253</v>
      </c>
      <c r="O154" s="33">
        <v>53</v>
      </c>
      <c r="P154" s="33">
        <v>0</v>
      </c>
      <c r="Q154" s="33">
        <v>9251</v>
      </c>
      <c r="R154" s="33">
        <v>0</v>
      </c>
      <c r="S154" s="33">
        <v>0</v>
      </c>
      <c r="T154" s="33">
        <v>825</v>
      </c>
      <c r="U154" s="33">
        <v>0</v>
      </c>
      <c r="V154" s="33">
        <v>0</v>
      </c>
      <c r="W154" s="33">
        <v>0</v>
      </c>
      <c r="X154" s="33">
        <v>0</v>
      </c>
      <c r="Y154" s="33">
        <f>514+645+252</f>
        <v>1411</v>
      </c>
      <c r="Z154" s="33">
        <v>0</v>
      </c>
      <c r="AA154" s="33">
        <v>0</v>
      </c>
      <c r="AB154" s="33">
        <v>687</v>
      </c>
      <c r="AC154" s="33"/>
      <c r="AD154" s="33">
        <v>13843</v>
      </c>
      <c r="AE154" s="33">
        <v>14180</v>
      </c>
      <c r="AF154" s="31">
        <v>0.98</v>
      </c>
      <c r="AG154" s="33">
        <v>20627</v>
      </c>
      <c r="AH154" s="33">
        <v>16246</v>
      </c>
      <c r="AI154" s="33">
        <v>4381</v>
      </c>
      <c r="AJ154" s="33">
        <v>357</v>
      </c>
      <c r="AK154" s="33">
        <v>0</v>
      </c>
      <c r="AL154" s="33">
        <v>2327</v>
      </c>
      <c r="AM154" s="33">
        <v>0</v>
      </c>
      <c r="AN154" s="33">
        <v>87</v>
      </c>
      <c r="AO154" s="33">
        <v>100</v>
      </c>
      <c r="AP154" s="35">
        <v>1</v>
      </c>
    </row>
    <row r="155" spans="1:42">
      <c r="A155" s="5">
        <v>18</v>
      </c>
      <c r="B155" s="22" t="s">
        <v>455</v>
      </c>
      <c r="C155" s="17" t="s">
        <v>219</v>
      </c>
      <c r="D155" s="22" t="s">
        <v>462</v>
      </c>
      <c r="E155" s="22" t="s">
        <v>526</v>
      </c>
      <c r="F155" s="33">
        <v>32673178</v>
      </c>
      <c r="G155" s="33">
        <v>2023299</v>
      </c>
      <c r="H155" s="33">
        <v>14630247</v>
      </c>
      <c r="I155" s="33">
        <v>2895192</v>
      </c>
      <c r="J155" s="33">
        <v>9230326</v>
      </c>
      <c r="K155" s="33">
        <v>30458493</v>
      </c>
      <c r="L155" s="28">
        <v>0.91</v>
      </c>
      <c r="M155" s="31">
        <f>2300359/28143047</f>
        <v>8.1738093249106969E-2</v>
      </c>
      <c r="N155" s="33">
        <v>2297256</v>
      </c>
      <c r="O155" s="33">
        <v>320025</v>
      </c>
      <c r="P155" s="33">
        <v>0</v>
      </c>
      <c r="Q155" s="33">
        <v>994531</v>
      </c>
      <c r="R155" s="33">
        <v>90087</v>
      </c>
      <c r="S155" s="33">
        <v>286947</v>
      </c>
      <c r="T155" s="33">
        <f>199832+978</f>
        <v>200810</v>
      </c>
      <c r="U155" s="33">
        <v>0</v>
      </c>
      <c r="V155" s="33">
        <v>17884</v>
      </c>
      <c r="W155" s="33">
        <v>22000</v>
      </c>
      <c r="X155" s="33">
        <v>23262</v>
      </c>
      <c r="Y155" s="33">
        <f>23481+81674+53577</f>
        <v>158732</v>
      </c>
      <c r="Z155" s="33">
        <v>7114</v>
      </c>
      <c r="AA155" s="33">
        <v>976</v>
      </c>
      <c r="AB155" s="33">
        <v>792</v>
      </c>
      <c r="AC155" s="33">
        <v>195350</v>
      </c>
      <c r="AD155" s="33">
        <v>0</v>
      </c>
      <c r="AE155" s="33">
        <v>2146465</v>
      </c>
      <c r="AF155" s="31">
        <f t="shared" ref="AF155:AF180" si="9">IF(AE155=0,0,AD155/AE155)</f>
        <v>0</v>
      </c>
      <c r="AG155" s="33">
        <v>122177</v>
      </c>
      <c r="AH155" s="33">
        <v>122177</v>
      </c>
      <c r="AI155" s="33">
        <v>0</v>
      </c>
      <c r="AJ155" s="33">
        <v>337470</v>
      </c>
      <c r="AK155" s="33">
        <v>0</v>
      </c>
      <c r="AL155" s="33">
        <v>0</v>
      </c>
      <c r="AM155" s="33">
        <v>0</v>
      </c>
      <c r="AN155" s="33">
        <v>5378</v>
      </c>
      <c r="AO155" s="33">
        <v>5440</v>
      </c>
      <c r="AP155" s="35">
        <v>27</v>
      </c>
    </row>
    <row r="156" spans="1:42">
      <c r="A156" s="5">
        <v>18</v>
      </c>
      <c r="B156" s="22" t="s">
        <v>481</v>
      </c>
      <c r="C156" s="17" t="s">
        <v>268</v>
      </c>
      <c r="D156" s="22" t="s">
        <v>108</v>
      </c>
      <c r="E156" s="22" t="s">
        <v>233</v>
      </c>
      <c r="F156" s="33">
        <v>2584705</v>
      </c>
      <c r="G156" s="33">
        <v>105661</v>
      </c>
      <c r="H156" s="33">
        <v>1126429</v>
      </c>
      <c r="I156" s="33">
        <v>354428</v>
      </c>
      <c r="J156" s="33">
        <v>548244</v>
      </c>
      <c r="K156" s="33">
        <v>2477790</v>
      </c>
      <c r="L156" s="28">
        <v>0.7</v>
      </c>
      <c r="M156" s="31">
        <f>245515/2455149</f>
        <v>0.10000004073072551</v>
      </c>
      <c r="N156" s="33">
        <v>243020</v>
      </c>
      <c r="O156" s="33">
        <v>0</v>
      </c>
      <c r="P156" s="33">
        <v>0</v>
      </c>
      <c r="Q156" s="33">
        <v>100157</v>
      </c>
      <c r="R156" s="33">
        <v>8705</v>
      </c>
      <c r="S156" s="33">
        <v>10679</v>
      </c>
      <c r="T156" s="33">
        <v>9664</v>
      </c>
      <c r="U156" s="33">
        <v>0</v>
      </c>
      <c r="V156" s="33">
        <v>7486</v>
      </c>
      <c r="W156" s="33">
        <v>4700</v>
      </c>
      <c r="X156" s="33">
        <v>596</v>
      </c>
      <c r="Y156" s="33">
        <f>3073+3523+2164</f>
        <v>8760</v>
      </c>
      <c r="Z156" s="33">
        <v>2489</v>
      </c>
      <c r="AA156" s="33">
        <f>2204+179</f>
        <v>2383</v>
      </c>
      <c r="AB156" s="33">
        <v>157</v>
      </c>
      <c r="AC156" s="33">
        <v>2905</v>
      </c>
      <c r="AD156" s="33">
        <v>46236</v>
      </c>
      <c r="AE156" s="33">
        <v>161740</v>
      </c>
      <c r="AF156" s="31">
        <f t="shared" si="9"/>
        <v>0.28586620502040311</v>
      </c>
      <c r="AG156" s="33">
        <v>111848</v>
      </c>
      <c r="AH156" s="33">
        <v>111848</v>
      </c>
      <c r="AI156" s="33">
        <v>0</v>
      </c>
      <c r="AJ156" s="33">
        <v>0</v>
      </c>
      <c r="AK156" s="33">
        <v>0</v>
      </c>
      <c r="AL156" s="33">
        <v>0</v>
      </c>
      <c r="AM156" s="33">
        <v>0</v>
      </c>
      <c r="AN156" s="33">
        <v>708</v>
      </c>
      <c r="AO156" s="33">
        <v>718</v>
      </c>
      <c r="AP156" s="35">
        <v>0</v>
      </c>
    </row>
    <row r="157" spans="1:42">
      <c r="A157" s="5">
        <v>18</v>
      </c>
      <c r="B157" s="22" t="s">
        <v>556</v>
      </c>
      <c r="C157" s="17" t="s">
        <v>45</v>
      </c>
      <c r="D157" s="22" t="s">
        <v>321</v>
      </c>
      <c r="E157" s="22" t="s">
        <v>233</v>
      </c>
      <c r="F157" s="33">
        <v>1484141</v>
      </c>
      <c r="G157" s="33">
        <v>54872</v>
      </c>
      <c r="H157" s="33">
        <f>640104+6826</f>
        <v>646930</v>
      </c>
      <c r="I157" s="33">
        <v>218407</v>
      </c>
      <c r="J157" s="33">
        <v>329157</v>
      </c>
      <c r="K157" s="33">
        <v>1443643</v>
      </c>
      <c r="L157" s="28">
        <v>0.71</v>
      </c>
      <c r="M157" s="31">
        <f>143515/1435150</f>
        <v>0.1</v>
      </c>
      <c r="N157" s="33">
        <v>143805</v>
      </c>
      <c r="O157" s="33">
        <v>1280</v>
      </c>
      <c r="P157" s="33">
        <v>0</v>
      </c>
      <c r="Q157" s="33">
        <v>34891</v>
      </c>
      <c r="R157" s="33">
        <v>3303</v>
      </c>
      <c r="S157" s="33">
        <v>1744</v>
      </c>
      <c r="T157" s="33">
        <f>4425+576</f>
        <v>5001</v>
      </c>
      <c r="U157" s="33">
        <v>687</v>
      </c>
      <c r="V157" s="33">
        <v>6521</v>
      </c>
      <c r="W157" s="33">
        <v>5500</v>
      </c>
      <c r="X157" s="33">
        <v>0</v>
      </c>
      <c r="Y157" s="33">
        <f>1203+2335+3695</f>
        <v>7233</v>
      </c>
      <c r="Z157" s="33">
        <v>2083</v>
      </c>
      <c r="AA157" s="33">
        <v>948</v>
      </c>
      <c r="AB157" s="33">
        <v>0</v>
      </c>
      <c r="AC157" s="33">
        <v>0</v>
      </c>
      <c r="AD157" s="33">
        <v>46142</v>
      </c>
      <c r="AE157" s="33">
        <v>69169</v>
      </c>
      <c r="AF157" s="31">
        <f t="shared" si="9"/>
        <v>0.66709074874582541</v>
      </c>
      <c r="AG157" s="33">
        <v>71463</v>
      </c>
      <c r="AH157" s="33">
        <v>71463</v>
      </c>
      <c r="AI157" s="33">
        <v>0</v>
      </c>
      <c r="AJ157" s="33">
        <v>9429</v>
      </c>
      <c r="AK157" s="33">
        <v>0</v>
      </c>
      <c r="AL157" s="33">
        <v>0</v>
      </c>
      <c r="AM157" s="33">
        <v>0</v>
      </c>
      <c r="AN157" s="33">
        <v>527</v>
      </c>
      <c r="AO157" s="33">
        <v>513</v>
      </c>
      <c r="AP157" s="35">
        <v>0</v>
      </c>
    </row>
    <row r="158" spans="1:42">
      <c r="A158" s="5">
        <v>19</v>
      </c>
      <c r="B158" s="22" t="s">
        <v>148</v>
      </c>
      <c r="C158" s="17" t="s">
        <v>469</v>
      </c>
      <c r="D158" s="22" t="s">
        <v>99</v>
      </c>
      <c r="E158" s="22" t="s">
        <v>551</v>
      </c>
      <c r="F158" s="33">
        <f>1075030+2150011</f>
        <v>3225041</v>
      </c>
      <c r="G158" s="33">
        <v>101431</v>
      </c>
      <c r="H158" s="33">
        <v>1784319</v>
      </c>
      <c r="I158" s="33">
        <v>315408</v>
      </c>
      <c r="J158" s="33">
        <v>600232</v>
      </c>
      <c r="K158" s="33">
        <v>3069933</v>
      </c>
      <c r="L158" s="28">
        <v>2.0099999999999998</v>
      </c>
      <c r="M158" s="31">
        <f>294538/3064302</f>
        <v>9.6119116196771728E-2</v>
      </c>
      <c r="N158" s="33">
        <v>294552</v>
      </c>
      <c r="O158" s="33">
        <v>0</v>
      </c>
      <c r="P158" s="33">
        <v>29038</v>
      </c>
      <c r="Q158" s="33">
        <v>90861</v>
      </c>
      <c r="R158" s="33">
        <v>9661</v>
      </c>
      <c r="S158" s="33">
        <v>0</v>
      </c>
      <c r="T158" s="33">
        <v>8910</v>
      </c>
      <c r="U158" s="33">
        <v>13050</v>
      </c>
      <c r="V158" s="33">
        <v>1478</v>
      </c>
      <c r="W158" s="33">
        <v>5900</v>
      </c>
      <c r="X158" s="33">
        <v>11064</v>
      </c>
      <c r="Y158" s="33">
        <f>2433+12925+8108</f>
        <v>23466</v>
      </c>
      <c r="Z158" s="33">
        <v>0</v>
      </c>
      <c r="AA158" s="33">
        <f>773+309+139</f>
        <v>1221</v>
      </c>
      <c r="AB158" s="33">
        <v>0</v>
      </c>
      <c r="AC158" s="33">
        <v>4510</v>
      </c>
      <c r="AD158" s="33">
        <v>23901</v>
      </c>
      <c r="AE158" s="33">
        <v>174397</v>
      </c>
      <c r="AF158" s="31">
        <f t="shared" si="9"/>
        <v>0.1370493758493552</v>
      </c>
      <c r="AG158" s="33">
        <v>122177</v>
      </c>
      <c r="AH158" s="33">
        <v>122177</v>
      </c>
      <c r="AI158" s="33">
        <v>0</v>
      </c>
      <c r="AJ158" s="33">
        <v>26628</v>
      </c>
      <c r="AK158" s="33">
        <v>0</v>
      </c>
      <c r="AL158" s="33">
        <v>0</v>
      </c>
      <c r="AM158" s="33">
        <v>0</v>
      </c>
      <c r="AN158" s="33">
        <v>836</v>
      </c>
      <c r="AO158" s="33">
        <v>1116</v>
      </c>
      <c r="AP158" s="35">
        <v>0</v>
      </c>
    </row>
    <row r="159" spans="1:42">
      <c r="A159" s="5">
        <v>19</v>
      </c>
      <c r="B159" s="22" t="s">
        <v>423</v>
      </c>
      <c r="C159" s="17" t="s">
        <v>41</v>
      </c>
      <c r="D159" s="22" t="s">
        <v>445</v>
      </c>
      <c r="E159" s="22" t="s">
        <v>521</v>
      </c>
      <c r="F159" s="33">
        <v>8535487</v>
      </c>
      <c r="G159" s="33">
        <v>147131</v>
      </c>
      <c r="H159" s="33">
        <v>2886291</v>
      </c>
      <c r="I159" s="33">
        <v>1164041</v>
      </c>
      <c r="J159" s="33">
        <v>4518500</v>
      </c>
      <c r="K159" s="33">
        <v>8880775</v>
      </c>
      <c r="L159" s="28">
        <v>1.3</v>
      </c>
      <c r="M159" s="31">
        <f>283435/8880244</f>
        <v>3.1917478844049781E-2</v>
      </c>
      <c r="N159" s="33">
        <v>283270</v>
      </c>
      <c r="O159" s="33">
        <v>599801</v>
      </c>
      <c r="P159" s="33">
        <v>0</v>
      </c>
      <c r="Q159" s="33">
        <v>321026</v>
      </c>
      <c r="R159" s="33">
        <v>31230</v>
      </c>
      <c r="S159" s="33">
        <v>49984</v>
      </c>
      <c r="T159" s="33">
        <v>68653</v>
      </c>
      <c r="U159" s="33">
        <v>0</v>
      </c>
      <c r="V159" s="33">
        <v>0</v>
      </c>
      <c r="W159" s="33">
        <v>11600</v>
      </c>
      <c r="X159" s="33">
        <v>0</v>
      </c>
      <c r="Y159" s="33">
        <f>8034+25809+19935</f>
        <v>53778</v>
      </c>
      <c r="Z159" s="33">
        <v>5238</v>
      </c>
      <c r="AA159" s="33">
        <v>142</v>
      </c>
      <c r="AB159" s="33">
        <v>355</v>
      </c>
      <c r="AC159" s="33">
        <v>14160</v>
      </c>
      <c r="AD159" s="33">
        <v>125221</v>
      </c>
      <c r="AE159" s="33">
        <v>665956</v>
      </c>
      <c r="AF159" s="31">
        <f t="shared" si="9"/>
        <v>0.18803194205022555</v>
      </c>
      <c r="AG159" s="33">
        <v>122177</v>
      </c>
      <c r="AH159" s="33">
        <v>122177</v>
      </c>
      <c r="AI159" s="33">
        <v>0</v>
      </c>
      <c r="AJ159" s="33">
        <v>120906</v>
      </c>
      <c r="AK159" s="33">
        <v>7693</v>
      </c>
      <c r="AL159" s="33">
        <v>7693</v>
      </c>
      <c r="AM159" s="33">
        <v>0</v>
      </c>
      <c r="AN159" s="33">
        <v>1710</v>
      </c>
      <c r="AO159" s="33">
        <v>2774</v>
      </c>
      <c r="AP159" s="35">
        <v>20</v>
      </c>
    </row>
    <row r="160" spans="1:42">
      <c r="A160" s="5">
        <v>19</v>
      </c>
      <c r="B160" s="22" t="s">
        <v>511</v>
      </c>
      <c r="C160" s="17" t="s">
        <v>381</v>
      </c>
      <c r="D160" s="22" t="s">
        <v>445</v>
      </c>
      <c r="E160" s="22" t="s">
        <v>521</v>
      </c>
      <c r="F160" s="33">
        <v>5060781</v>
      </c>
      <c r="G160" s="33">
        <v>420140</v>
      </c>
      <c r="H160" s="33">
        <v>2199392</v>
      </c>
      <c r="I160" s="33">
        <v>140963</v>
      </c>
      <c r="J160" s="33">
        <v>203557</v>
      </c>
      <c r="K160" s="33">
        <v>3921472</v>
      </c>
      <c r="L160" s="28">
        <v>2.89</v>
      </c>
      <c r="M160" s="31">
        <f>384789/3847884</f>
        <v>0.10000015592985652</v>
      </c>
      <c r="N160" s="33">
        <v>384889</v>
      </c>
      <c r="O160" s="33">
        <v>8069</v>
      </c>
      <c r="P160" s="33">
        <v>25810</v>
      </c>
      <c r="Q160" s="33">
        <v>157416</v>
      </c>
      <c r="R160" s="33">
        <v>13554</v>
      </c>
      <c r="S160" s="33">
        <v>16158</v>
      </c>
      <c r="T160" s="33">
        <v>31858</v>
      </c>
      <c r="U160" s="33">
        <v>0</v>
      </c>
      <c r="V160" s="33">
        <v>13762</v>
      </c>
      <c r="W160" s="33">
        <v>6000</v>
      </c>
      <c r="X160" s="33">
        <v>19232</v>
      </c>
      <c r="Y160" s="33">
        <f>4536+11330+10852</f>
        <v>26718</v>
      </c>
      <c r="Z160" s="33">
        <v>2169</v>
      </c>
      <c r="AA160" s="33">
        <v>2565</v>
      </c>
      <c r="AB160" s="33">
        <v>23438</v>
      </c>
      <c r="AC160" s="33">
        <v>11969</v>
      </c>
      <c r="AD160" s="33">
        <v>266314</v>
      </c>
      <c r="AE160" s="33">
        <v>354645</v>
      </c>
      <c r="AF160" s="31">
        <f t="shared" si="9"/>
        <v>0.75093121290304388</v>
      </c>
      <c r="AG160" s="33">
        <v>122177</v>
      </c>
      <c r="AH160" s="33">
        <v>122177</v>
      </c>
      <c r="AI160" s="33">
        <v>0</v>
      </c>
      <c r="AJ160" s="33">
        <v>5283</v>
      </c>
      <c r="AK160" s="33">
        <v>0</v>
      </c>
      <c r="AL160" s="33">
        <v>0</v>
      </c>
      <c r="AM160" s="33">
        <v>136169</v>
      </c>
      <c r="AN160" s="33">
        <v>2510</v>
      </c>
      <c r="AO160" s="33">
        <v>1140</v>
      </c>
      <c r="AP160" s="35">
        <v>0</v>
      </c>
    </row>
    <row r="161" spans="1:42">
      <c r="A161" s="5">
        <v>19</v>
      </c>
      <c r="B161" s="22" t="s">
        <v>555</v>
      </c>
      <c r="C161" s="17" t="s">
        <v>444</v>
      </c>
      <c r="D161" s="22" t="s">
        <v>137</v>
      </c>
      <c r="E161" s="22" t="s">
        <v>107</v>
      </c>
      <c r="F161" s="33">
        <v>19753777</v>
      </c>
      <c r="G161" s="33">
        <v>937768</v>
      </c>
      <c r="H161" s="33">
        <v>9269436</v>
      </c>
      <c r="I161" s="33">
        <v>3378019</v>
      </c>
      <c r="J161" s="33">
        <v>5188973</v>
      </c>
      <c r="K161" s="33">
        <v>20795748</v>
      </c>
      <c r="L161" s="28">
        <v>4.4000000000000004</v>
      </c>
      <c r="M161" s="31">
        <f>779841/20795748</f>
        <v>3.7500021639038907E-2</v>
      </c>
      <c r="N161" s="33">
        <v>748860</v>
      </c>
      <c r="O161" s="33">
        <v>270359</v>
      </c>
      <c r="P161" s="33">
        <v>0</v>
      </c>
      <c r="Q161" s="33">
        <v>611835</v>
      </c>
      <c r="R161" s="33">
        <v>51557</v>
      </c>
      <c r="S161" s="33">
        <v>95658</v>
      </c>
      <c r="T161" s="33">
        <v>62575</v>
      </c>
      <c r="U161" s="33">
        <v>2387</v>
      </c>
      <c r="V161" s="33">
        <v>2856</v>
      </c>
      <c r="W161" s="33">
        <v>12800</v>
      </c>
      <c r="X161" s="33">
        <v>2968</v>
      </c>
      <c r="Y161" s="33">
        <f>6971+15001+11139</f>
        <v>33111</v>
      </c>
      <c r="Z161" s="33">
        <v>0</v>
      </c>
      <c r="AA161" s="33">
        <f>970+463+56</f>
        <v>1489</v>
      </c>
      <c r="AB161" s="33">
        <v>0</v>
      </c>
      <c r="AC161" s="33">
        <v>618</v>
      </c>
      <c r="AD161" s="33">
        <v>0</v>
      </c>
      <c r="AE161" s="33">
        <v>920238</v>
      </c>
      <c r="AF161" s="31">
        <f t="shared" si="9"/>
        <v>0</v>
      </c>
      <c r="AG161" s="33">
        <v>122147</v>
      </c>
      <c r="AH161" s="33">
        <v>122147</v>
      </c>
      <c r="AI161" s="33">
        <v>0</v>
      </c>
      <c r="AJ161" s="33">
        <v>140710</v>
      </c>
      <c r="AK161" s="33">
        <v>0</v>
      </c>
      <c r="AL161" s="33">
        <v>0</v>
      </c>
      <c r="AM161" s="33">
        <v>0</v>
      </c>
      <c r="AN161" s="33">
        <v>7236</v>
      </c>
      <c r="AO161" s="33">
        <v>8414</v>
      </c>
      <c r="AP161" s="35">
        <v>9</v>
      </c>
    </row>
    <row r="162" spans="1:42">
      <c r="A162" s="5">
        <v>20</v>
      </c>
      <c r="B162" s="22" t="s">
        <v>62</v>
      </c>
      <c r="C162" s="17" t="s">
        <v>543</v>
      </c>
      <c r="D162" s="22" t="s">
        <v>342</v>
      </c>
      <c r="E162" s="22" t="s">
        <v>369</v>
      </c>
      <c r="F162" s="33">
        <v>1985579</v>
      </c>
      <c r="G162" s="33">
        <v>37768</v>
      </c>
      <c r="H162" s="33">
        <v>1269489</v>
      </c>
      <c r="I162" s="33">
        <v>190401</v>
      </c>
      <c r="J162" s="33">
        <v>244727</v>
      </c>
      <c r="K162" s="33">
        <v>1990830</v>
      </c>
      <c r="L162" s="28">
        <v>1.1399999999999999</v>
      </c>
      <c r="M162" s="31">
        <f>198145/1981447</f>
        <v>0.10000015140450388</v>
      </c>
      <c r="N162" s="33">
        <v>198353</v>
      </c>
      <c r="O162" s="33">
        <v>441</v>
      </c>
      <c r="P162" s="33">
        <v>10000</v>
      </c>
      <c r="Q162" s="33">
        <v>27957</v>
      </c>
      <c r="R162" s="33">
        <v>1994</v>
      </c>
      <c r="S162" s="33">
        <v>0</v>
      </c>
      <c r="T162" s="33">
        <v>9600</v>
      </c>
      <c r="U162" s="33">
        <v>4813</v>
      </c>
      <c r="V162" s="33">
        <v>4921</v>
      </c>
      <c r="W162" s="33">
        <v>7000</v>
      </c>
      <c r="X162" s="33">
        <v>263</v>
      </c>
      <c r="Y162" s="33">
        <f>4631+7932+3705</f>
        <v>16268</v>
      </c>
      <c r="Z162" s="33">
        <v>2809</v>
      </c>
      <c r="AA162" s="33">
        <v>675</v>
      </c>
      <c r="AB162" s="33">
        <v>2700</v>
      </c>
      <c r="AC162" s="33">
        <v>2761</v>
      </c>
      <c r="AD162" s="33">
        <v>17674</v>
      </c>
      <c r="AE162" s="33">
        <v>106198</v>
      </c>
      <c r="AF162" s="31">
        <f t="shared" si="9"/>
        <v>0.16642497975479764</v>
      </c>
      <c r="AG162" s="33">
        <v>98390</v>
      </c>
      <c r="AH162" s="33">
        <v>97891</v>
      </c>
      <c r="AI162" s="33">
        <v>499</v>
      </c>
      <c r="AJ162" s="33">
        <v>307</v>
      </c>
      <c r="AK162" s="33">
        <v>0</v>
      </c>
      <c r="AL162" s="33">
        <v>0</v>
      </c>
      <c r="AM162" s="33">
        <v>0</v>
      </c>
      <c r="AN162" s="33">
        <v>404</v>
      </c>
      <c r="AO162" s="33">
        <v>388</v>
      </c>
      <c r="AP162" s="35">
        <v>0</v>
      </c>
    </row>
    <row r="163" spans="1:42">
      <c r="A163" s="5">
        <v>20</v>
      </c>
      <c r="B163" s="22" t="s">
        <v>149</v>
      </c>
      <c r="C163" s="17" t="s">
        <v>291</v>
      </c>
      <c r="D163" s="22" t="s">
        <v>517</v>
      </c>
      <c r="E163" s="22" t="s">
        <v>369</v>
      </c>
      <c r="F163" s="33">
        <v>8404458</v>
      </c>
      <c r="G163" s="33">
        <v>128629</v>
      </c>
      <c r="H163" s="33">
        <v>4459943</v>
      </c>
      <c r="I163" s="33">
        <v>809686</v>
      </c>
      <c r="J163" s="33">
        <v>2491149</v>
      </c>
      <c r="K163" s="33">
        <v>8277774</v>
      </c>
      <c r="L163" s="28">
        <v>0.71</v>
      </c>
      <c r="M163" s="31">
        <f>142647/8151232</f>
        <v>1.7500053979570204E-2</v>
      </c>
      <c r="N163" s="33">
        <v>143913</v>
      </c>
      <c r="O163" s="33">
        <v>387802</v>
      </c>
      <c r="P163" s="33">
        <v>0</v>
      </c>
      <c r="Q163" s="33">
        <v>113680</v>
      </c>
      <c r="R163" s="33">
        <v>11904</v>
      </c>
      <c r="S163" s="33">
        <v>12594</v>
      </c>
      <c r="T163" s="33">
        <v>16000</v>
      </c>
      <c r="U163" s="33">
        <v>5100</v>
      </c>
      <c r="V163" s="33">
        <v>11937</v>
      </c>
      <c r="W163" s="33">
        <v>5900</v>
      </c>
      <c r="X163" s="33">
        <v>0</v>
      </c>
      <c r="Y163" s="33">
        <f>4110+13965+18193</f>
        <v>36268</v>
      </c>
      <c r="Z163" s="33">
        <v>10991</v>
      </c>
      <c r="AA163" s="33">
        <v>0</v>
      </c>
      <c r="AB163" s="33">
        <v>824</v>
      </c>
      <c r="AC163" s="33">
        <v>115917</v>
      </c>
      <c r="AD163" s="33">
        <v>148152</v>
      </c>
      <c r="AE163" s="33">
        <v>395735</v>
      </c>
      <c r="AF163" s="31">
        <f t="shared" si="9"/>
        <v>0.37437173866349954</v>
      </c>
      <c r="AG163" s="33">
        <v>122177</v>
      </c>
      <c r="AH163" s="33">
        <v>122177</v>
      </c>
      <c r="AI163" s="33">
        <v>0</v>
      </c>
      <c r="AJ163" s="33">
        <v>40545</v>
      </c>
      <c r="AK163" s="33">
        <v>0</v>
      </c>
      <c r="AL163" s="33">
        <v>0</v>
      </c>
      <c r="AM163" s="33">
        <v>0</v>
      </c>
      <c r="AN163" s="33">
        <v>1798</v>
      </c>
      <c r="AO163" s="33">
        <v>1759</v>
      </c>
      <c r="AP163" s="35">
        <v>4</v>
      </c>
    </row>
    <row r="164" spans="1:42">
      <c r="A164" s="5">
        <v>20</v>
      </c>
      <c r="B164" s="22" t="s">
        <v>198</v>
      </c>
      <c r="C164" s="17" t="s">
        <v>543</v>
      </c>
      <c r="D164" s="22" t="s">
        <v>0</v>
      </c>
      <c r="E164" s="22" t="s">
        <v>266</v>
      </c>
      <c r="F164" s="33">
        <v>9925555</v>
      </c>
      <c r="G164" s="33">
        <v>225485</v>
      </c>
      <c r="H164" s="33">
        <v>5572820</v>
      </c>
      <c r="I164" s="33">
        <v>1172366</v>
      </c>
      <c r="J164" s="33">
        <v>1464617</v>
      </c>
      <c r="K164" s="33">
        <v>9722333</v>
      </c>
      <c r="L164" s="28">
        <v>0.79</v>
      </c>
      <c r="M164" s="31">
        <f>699935/9663693</f>
        <v>7.2429349732033091E-2</v>
      </c>
      <c r="N164" s="33">
        <v>700450</v>
      </c>
      <c r="O164" s="33">
        <v>82110</v>
      </c>
      <c r="P164" s="33">
        <v>0</v>
      </c>
      <c r="Q164" s="33">
        <v>291735</v>
      </c>
      <c r="R164" s="33">
        <v>26289</v>
      </c>
      <c r="S164" s="33">
        <v>79452</v>
      </c>
      <c r="T164" s="33">
        <f>34950+6330</f>
        <v>41280</v>
      </c>
      <c r="U164" s="33">
        <v>1615</v>
      </c>
      <c r="V164" s="33">
        <v>16964</v>
      </c>
      <c r="W164" s="33">
        <v>8200</v>
      </c>
      <c r="X164" s="33">
        <v>300</v>
      </c>
      <c r="Y164" s="33">
        <f>16393+17603+12205</f>
        <v>46201</v>
      </c>
      <c r="Z164" s="33">
        <v>11575</v>
      </c>
      <c r="AA164" s="33">
        <f>1044+269</f>
        <v>1313</v>
      </c>
      <c r="AB164" s="33">
        <v>1757</v>
      </c>
      <c r="AC164" s="33">
        <v>54250</v>
      </c>
      <c r="AD164" s="33">
        <v>0</v>
      </c>
      <c r="AE164" s="33">
        <v>621134</v>
      </c>
      <c r="AF164" s="31">
        <f t="shared" si="9"/>
        <v>0</v>
      </c>
      <c r="AG164" s="33">
        <v>122177</v>
      </c>
      <c r="AH164" s="33">
        <v>122177</v>
      </c>
      <c r="AI164" s="33">
        <v>0</v>
      </c>
      <c r="AJ164" s="33">
        <v>71191</v>
      </c>
      <c r="AK164" s="33">
        <v>0</v>
      </c>
      <c r="AL164" s="33">
        <v>0</v>
      </c>
      <c r="AM164" s="33">
        <v>0</v>
      </c>
      <c r="AN164" s="33">
        <v>3643</v>
      </c>
      <c r="AO164" s="33">
        <v>3598</v>
      </c>
      <c r="AP164" s="35">
        <v>4</v>
      </c>
    </row>
    <row r="165" spans="1:42">
      <c r="A165" s="5">
        <v>20</v>
      </c>
      <c r="B165" s="22" t="s">
        <v>312</v>
      </c>
      <c r="C165" s="17" t="s">
        <v>485</v>
      </c>
      <c r="D165" s="22" t="s">
        <v>17</v>
      </c>
      <c r="E165" s="22" t="s">
        <v>357</v>
      </c>
      <c r="F165" s="33">
        <v>5507911</v>
      </c>
      <c r="G165" s="33">
        <v>174278</v>
      </c>
      <c r="H165" s="33">
        <v>2132553</v>
      </c>
      <c r="I165" s="33">
        <v>1345655</v>
      </c>
      <c r="J165" s="33">
        <v>650563</v>
      </c>
      <c r="K165" s="33">
        <v>5255062</v>
      </c>
      <c r="L165" s="28">
        <v>0.96</v>
      </c>
      <c r="M165" s="31">
        <f>394130/5255062</f>
        <v>7.500006660244922E-2</v>
      </c>
      <c r="N165" s="33">
        <v>406997</v>
      </c>
      <c r="O165" s="33">
        <v>0</v>
      </c>
      <c r="P165" s="33">
        <v>0</v>
      </c>
      <c r="Q165" s="33">
        <v>168531</v>
      </c>
      <c r="R165" s="33">
        <v>12889</v>
      </c>
      <c r="S165" s="33">
        <v>13680</v>
      </c>
      <c r="T165" s="33">
        <v>13800</v>
      </c>
      <c r="U165" s="33">
        <v>0</v>
      </c>
      <c r="V165" s="33">
        <v>8100</v>
      </c>
      <c r="W165" s="33">
        <v>4600</v>
      </c>
      <c r="X165" s="33">
        <v>2875</v>
      </c>
      <c r="Y165" s="33">
        <f>4867+14342+2449</f>
        <v>21658</v>
      </c>
      <c r="Z165" s="33">
        <v>1132</v>
      </c>
      <c r="AA165" s="33">
        <v>4457</v>
      </c>
      <c r="AB165" s="33">
        <v>25060</v>
      </c>
      <c r="AC165" s="33">
        <v>0</v>
      </c>
      <c r="AD165" s="33">
        <v>256959</v>
      </c>
      <c r="AE165" s="33">
        <v>311540</v>
      </c>
      <c r="AF165" s="31">
        <f t="shared" si="9"/>
        <v>0.82480259356743912</v>
      </c>
      <c r="AG165" s="33">
        <v>109598</v>
      </c>
      <c r="AH165" s="33">
        <v>109598</v>
      </c>
      <c r="AI165" s="33">
        <v>0</v>
      </c>
      <c r="AJ165" s="33">
        <v>0</v>
      </c>
      <c r="AK165" s="33">
        <v>0</v>
      </c>
      <c r="AL165" s="33">
        <v>0</v>
      </c>
      <c r="AM165" s="33">
        <v>0</v>
      </c>
      <c r="AN165" s="33">
        <v>1770</v>
      </c>
      <c r="AO165" s="33">
        <v>1665</v>
      </c>
      <c r="AP165" s="35">
        <v>7</v>
      </c>
    </row>
    <row r="166" spans="1:42">
      <c r="A166" s="5">
        <v>20</v>
      </c>
      <c r="B166" s="22" t="s">
        <v>478</v>
      </c>
      <c r="C166" s="17" t="s">
        <v>25</v>
      </c>
      <c r="D166" s="22" t="s">
        <v>370</v>
      </c>
      <c r="E166" s="22" t="s">
        <v>369</v>
      </c>
      <c r="F166" s="33">
        <v>18976839</v>
      </c>
      <c r="G166" s="33">
        <v>561233</v>
      </c>
      <c r="H166" s="33">
        <v>11979259</v>
      </c>
      <c r="I166" s="33">
        <v>1487062</v>
      </c>
      <c r="J166" s="33">
        <v>3383805</v>
      </c>
      <c r="K166" s="33">
        <v>18561202</v>
      </c>
      <c r="L166" s="28">
        <v>1.29</v>
      </c>
      <c r="M166" s="31">
        <f>719142/18561203</f>
        <v>3.8744363713925221E-2</v>
      </c>
      <c r="N166" s="33">
        <v>714957</v>
      </c>
      <c r="O166" s="33">
        <v>198664</v>
      </c>
      <c r="P166" s="33">
        <v>0</v>
      </c>
      <c r="Q166" s="33">
        <v>375493</v>
      </c>
      <c r="R166" s="33">
        <v>29914</v>
      </c>
      <c r="S166" s="33">
        <v>61750</v>
      </c>
      <c r="T166" s="33">
        <f>56069+7157</f>
        <v>63226</v>
      </c>
      <c r="U166" s="33">
        <v>21204</v>
      </c>
      <c r="V166" s="33">
        <v>18537</v>
      </c>
      <c r="W166" s="33">
        <v>4600</v>
      </c>
      <c r="X166" s="33">
        <v>2495</v>
      </c>
      <c r="Y166" s="33">
        <f>8171+23227+16765</f>
        <v>48163</v>
      </c>
      <c r="Z166" s="33">
        <v>6964</v>
      </c>
      <c r="AA166" s="33">
        <v>1367</v>
      </c>
      <c r="AB166" s="33">
        <v>477</v>
      </c>
      <c r="AC166" s="33">
        <v>59343</v>
      </c>
      <c r="AD166" s="33">
        <v>116283</v>
      </c>
      <c r="AE166" s="33">
        <v>735319</v>
      </c>
      <c r="AF166" s="31">
        <f t="shared" si="9"/>
        <v>0.15813952855835359</v>
      </c>
      <c r="AG166" s="33">
        <v>122177</v>
      </c>
      <c r="AH166" s="33">
        <v>122177</v>
      </c>
      <c r="AI166" s="33">
        <v>0</v>
      </c>
      <c r="AJ166" s="33">
        <v>107280</v>
      </c>
      <c r="AK166" s="33">
        <v>0</v>
      </c>
      <c r="AL166" s="33">
        <v>0</v>
      </c>
      <c r="AM166" s="33">
        <v>0</v>
      </c>
      <c r="AN166" s="33">
        <v>3040</v>
      </c>
      <c r="AO166" s="33">
        <v>3183</v>
      </c>
      <c r="AP166" s="35">
        <v>7</v>
      </c>
    </row>
    <row r="167" spans="1:42">
      <c r="A167" s="5">
        <v>20</v>
      </c>
      <c r="B167" s="22" t="s">
        <v>527</v>
      </c>
      <c r="C167" s="17" t="s">
        <v>439</v>
      </c>
      <c r="D167" s="22" t="s">
        <v>540</v>
      </c>
      <c r="E167" s="22" t="s">
        <v>266</v>
      </c>
      <c r="F167" s="33">
        <v>3120557</v>
      </c>
      <c r="G167" s="33">
        <v>51694</v>
      </c>
      <c r="H167" s="33">
        <v>1359948</v>
      </c>
      <c r="I167" s="33">
        <v>539693</v>
      </c>
      <c r="J167" s="33">
        <v>625765</v>
      </c>
      <c r="K167" s="33">
        <v>3016224</v>
      </c>
      <c r="L167" s="28">
        <v>0.77</v>
      </c>
      <c r="M167" s="31">
        <f>301622/3016224</f>
        <v>9.9999867383854774E-2</v>
      </c>
      <c r="N167" s="33">
        <v>301703</v>
      </c>
      <c r="O167" s="33">
        <v>0.67</v>
      </c>
      <c r="P167" s="33">
        <v>0</v>
      </c>
      <c r="Q167" s="33">
        <v>66483</v>
      </c>
      <c r="R167" s="33">
        <v>6236</v>
      </c>
      <c r="S167" s="33">
        <v>7343</v>
      </c>
      <c r="T167" s="33">
        <v>15361</v>
      </c>
      <c r="U167" s="33">
        <v>0</v>
      </c>
      <c r="V167" s="33">
        <v>28292</v>
      </c>
      <c r="W167" s="33">
        <v>5900</v>
      </c>
      <c r="X167" s="33">
        <v>2428</v>
      </c>
      <c r="Y167" s="33">
        <f>5454+7394+6704</f>
        <v>19552</v>
      </c>
      <c r="Z167" s="33">
        <v>950</v>
      </c>
      <c r="AA167" s="33">
        <f>559+1662+127</f>
        <v>2348</v>
      </c>
      <c r="AB167" s="33">
        <v>6732</v>
      </c>
      <c r="AC167" s="33">
        <v>0</v>
      </c>
      <c r="AD167" s="33">
        <v>99909</v>
      </c>
      <c r="AE167" s="33">
        <v>191410</v>
      </c>
      <c r="AF167" s="31">
        <f t="shared" si="9"/>
        <v>0.52196332480016716</v>
      </c>
      <c r="AG167" s="33">
        <v>120290</v>
      </c>
      <c r="AH167" s="33">
        <v>120280</v>
      </c>
      <c r="AI167" s="33">
        <v>0</v>
      </c>
      <c r="AJ167" s="33">
        <v>124</v>
      </c>
      <c r="AK167" s="33">
        <v>0</v>
      </c>
      <c r="AL167" s="33">
        <v>0</v>
      </c>
      <c r="AM167" s="33">
        <v>0</v>
      </c>
      <c r="AN167" s="33">
        <v>854</v>
      </c>
      <c r="AO167" s="33">
        <v>798</v>
      </c>
      <c r="AP167" s="35">
        <v>17</v>
      </c>
    </row>
    <row r="168" spans="1:42">
      <c r="A168" s="5">
        <v>21</v>
      </c>
      <c r="B168" s="22" t="s">
        <v>48</v>
      </c>
      <c r="C168" s="17" t="s">
        <v>44</v>
      </c>
      <c r="D168" s="22" t="s">
        <v>35</v>
      </c>
      <c r="E168" s="22" t="s">
        <v>184</v>
      </c>
      <c r="F168" s="33">
        <v>16168158</v>
      </c>
      <c r="G168" s="33">
        <v>305649</v>
      </c>
      <c r="H168" s="33">
        <v>9426365</v>
      </c>
      <c r="I168" s="33">
        <v>598410</v>
      </c>
      <c r="J168" s="33">
        <v>3436486</v>
      </c>
      <c r="K168" s="33">
        <v>15830123</v>
      </c>
      <c r="L168" s="28">
        <v>0.41</v>
      </c>
      <c r="M168" s="31">
        <f>1007592/15830123</f>
        <v>6.3650295073512692E-2</v>
      </c>
      <c r="N168" s="33">
        <v>1006782</v>
      </c>
      <c r="O168" s="33">
        <v>175497</v>
      </c>
      <c r="P168" s="33">
        <v>0</v>
      </c>
      <c r="Q168" s="33">
        <v>527197</v>
      </c>
      <c r="R168" s="33">
        <v>39883</v>
      </c>
      <c r="S168" s="33">
        <v>115663</v>
      </c>
      <c r="T168" s="33">
        <f>40950+13089</f>
        <v>54039</v>
      </c>
      <c r="U168" s="33">
        <v>1713</v>
      </c>
      <c r="V168" s="33">
        <v>28475</v>
      </c>
      <c r="W168" s="33">
        <v>12150</v>
      </c>
      <c r="X168" s="33">
        <v>0</v>
      </c>
      <c r="Y168" s="33">
        <f>20203+30415+29554</f>
        <v>80172</v>
      </c>
      <c r="Z168" s="33">
        <v>15028</v>
      </c>
      <c r="AA168" s="33">
        <f>4782+376+691+21</f>
        <v>5870</v>
      </c>
      <c r="AB168" s="33">
        <v>3603</v>
      </c>
      <c r="AC168" s="33">
        <v>21644</v>
      </c>
      <c r="AD168" s="33">
        <v>0</v>
      </c>
      <c r="AE168" s="33">
        <v>958743</v>
      </c>
      <c r="AF168" s="31">
        <f t="shared" si="9"/>
        <v>0</v>
      </c>
      <c r="AG168" s="33">
        <v>122177</v>
      </c>
      <c r="AH168" s="33">
        <v>122177</v>
      </c>
      <c r="AI168" s="33">
        <v>0</v>
      </c>
      <c r="AJ168" s="33">
        <v>129680</v>
      </c>
      <c r="AK168" s="33">
        <v>0</v>
      </c>
      <c r="AL168" s="33">
        <v>0</v>
      </c>
      <c r="AM168" s="33">
        <v>0</v>
      </c>
      <c r="AN168" s="33">
        <v>5950</v>
      </c>
      <c r="AO168" s="33">
        <v>5703</v>
      </c>
      <c r="AP168" s="35">
        <v>13</v>
      </c>
    </row>
    <row r="169" spans="1:42">
      <c r="A169" s="5">
        <v>21</v>
      </c>
      <c r="B169" s="22" t="s">
        <v>61</v>
      </c>
      <c r="C169" s="17" t="s">
        <v>243</v>
      </c>
      <c r="D169" s="22" t="s">
        <v>88</v>
      </c>
      <c r="E169" s="22" t="s">
        <v>184</v>
      </c>
      <c r="F169" s="33">
        <v>57732805</v>
      </c>
      <c r="G169" s="33">
        <v>1394180</v>
      </c>
      <c r="H169" s="33">
        <v>31985193</v>
      </c>
      <c r="I169" s="33">
        <v>4942585</v>
      </c>
      <c r="J169" s="33">
        <v>11492253</v>
      </c>
      <c r="K169" s="33">
        <v>55361368</v>
      </c>
      <c r="L169" s="28">
        <v>0.7</v>
      </c>
      <c r="M169" s="31">
        <f>1880877/55319925</f>
        <v>3.3999991865498735E-2</v>
      </c>
      <c r="N169" s="33">
        <v>1880981</v>
      </c>
      <c r="O169" s="33">
        <v>288049</v>
      </c>
      <c r="P169" s="33">
        <v>0</v>
      </c>
      <c r="Q169" s="33">
        <v>916553</v>
      </c>
      <c r="R169" s="33">
        <v>67406</v>
      </c>
      <c r="S169" s="33">
        <v>265512</v>
      </c>
      <c r="T169" s="33">
        <v>125741</v>
      </c>
      <c r="U169" s="33">
        <v>1946</v>
      </c>
      <c r="V169" s="33">
        <v>16457</v>
      </c>
      <c r="W169" s="33">
        <v>14400</v>
      </c>
      <c r="X169" s="33">
        <v>10859</v>
      </c>
      <c r="Y169" s="33">
        <f>25824+67824+44316</f>
        <v>137964</v>
      </c>
      <c r="Z169" s="33">
        <v>18004</v>
      </c>
      <c r="AA169" s="33">
        <f>1548+54+50+10878</f>
        <v>12530</v>
      </c>
      <c r="AB169" s="33">
        <v>0</v>
      </c>
      <c r="AC169" s="33">
        <v>162471</v>
      </c>
      <c r="AD169" s="33">
        <v>0</v>
      </c>
      <c r="AE169" s="33">
        <v>1836741</v>
      </c>
      <c r="AF169" s="31">
        <f t="shared" si="9"/>
        <v>0</v>
      </c>
      <c r="AG169" s="33">
        <v>122177</v>
      </c>
      <c r="AH169" s="33">
        <v>122177</v>
      </c>
      <c r="AI169" s="33">
        <v>0</v>
      </c>
      <c r="AJ169" s="33">
        <v>321784</v>
      </c>
      <c r="AK169" s="33">
        <v>9538</v>
      </c>
      <c r="AL169" s="33">
        <v>9538</v>
      </c>
      <c r="AM169" s="33">
        <v>0</v>
      </c>
      <c r="AN169" s="33">
        <v>16938</v>
      </c>
      <c r="AO169" s="33">
        <v>15479</v>
      </c>
      <c r="AP169" s="35">
        <v>29</v>
      </c>
    </row>
    <row r="170" spans="1:42">
      <c r="A170" s="5">
        <v>21</v>
      </c>
      <c r="B170" s="22" t="s">
        <v>73</v>
      </c>
      <c r="C170" s="17" t="s">
        <v>496</v>
      </c>
      <c r="D170" s="22" t="s">
        <v>457</v>
      </c>
      <c r="E170" s="22" t="s">
        <v>184</v>
      </c>
      <c r="F170" s="33">
        <v>22207858</v>
      </c>
      <c r="G170" s="33">
        <v>902394</v>
      </c>
      <c r="H170" s="33">
        <v>12773240</v>
      </c>
      <c r="I170" s="33">
        <v>829852</v>
      </c>
      <c r="J170" s="33">
        <v>4542310</v>
      </c>
      <c r="K170" s="33">
        <v>21195511</v>
      </c>
      <c r="L170" s="28">
        <v>0.37</v>
      </c>
      <c r="M170" s="31">
        <f>1093273/21195511</f>
        <v>5.1580403039115215E-2</v>
      </c>
      <c r="N170" s="33">
        <v>1087892</v>
      </c>
      <c r="O170" s="33">
        <v>224508</v>
      </c>
      <c r="P170" s="33">
        <v>0</v>
      </c>
      <c r="Q170" s="33">
        <v>508866</v>
      </c>
      <c r="R170" s="33">
        <v>38947</v>
      </c>
      <c r="S170" s="33">
        <v>123856</v>
      </c>
      <c r="T170" s="33">
        <f>82467+1873</f>
        <v>84340</v>
      </c>
      <c r="U170" s="33">
        <v>0</v>
      </c>
      <c r="V170" s="33">
        <v>33217</v>
      </c>
      <c r="W170" s="33">
        <v>12150</v>
      </c>
      <c r="X170" s="33">
        <v>0</v>
      </c>
      <c r="Y170" s="33">
        <f>27518+37167+34966</f>
        <v>99651</v>
      </c>
      <c r="Z170" s="33">
        <v>12703</v>
      </c>
      <c r="AA170" s="33">
        <f>6055+2221+971</f>
        <v>9247</v>
      </c>
      <c r="AB170" s="33">
        <v>0</v>
      </c>
      <c r="AC170" s="33">
        <v>82208</v>
      </c>
      <c r="AD170" s="33">
        <v>0</v>
      </c>
      <c r="AE170" s="33">
        <v>1052024</v>
      </c>
      <c r="AF170" s="31">
        <f t="shared" si="9"/>
        <v>0</v>
      </c>
      <c r="AG170" s="33">
        <v>122177</v>
      </c>
      <c r="AH170" s="33">
        <v>122177</v>
      </c>
      <c r="AI170" s="33">
        <v>0</v>
      </c>
      <c r="AJ170" s="33">
        <v>181767</v>
      </c>
      <c r="AK170" s="33">
        <v>2923</v>
      </c>
      <c r="AL170" s="33">
        <v>2923</v>
      </c>
      <c r="AM170" s="33">
        <v>0</v>
      </c>
      <c r="AN170" s="33">
        <v>7904</v>
      </c>
      <c r="AO170" s="33">
        <v>7420</v>
      </c>
      <c r="AP170" s="35">
        <v>4</v>
      </c>
    </row>
    <row r="171" spans="1:42">
      <c r="A171" s="5">
        <v>21</v>
      </c>
      <c r="B171" s="22" t="s">
        <v>130</v>
      </c>
      <c r="C171" s="17" t="s">
        <v>304</v>
      </c>
      <c r="D171" s="22" t="s">
        <v>242</v>
      </c>
      <c r="E171" s="22" t="s">
        <v>172</v>
      </c>
      <c r="F171" s="33">
        <v>13139646</v>
      </c>
      <c r="G171" s="33">
        <v>1059952</v>
      </c>
      <c r="H171" s="33">
        <v>8882111</v>
      </c>
      <c r="I171" s="33">
        <v>925087</v>
      </c>
      <c r="J171" s="33">
        <v>1617046</v>
      </c>
      <c r="K171" s="33">
        <v>12035889</v>
      </c>
      <c r="L171" s="28">
        <v>1.7</v>
      </c>
      <c r="M171" s="31">
        <f>428658/12029385</f>
        <v>3.5634240653200477E-2</v>
      </c>
      <c r="N171" s="33">
        <v>432328</v>
      </c>
      <c r="O171" s="33">
        <v>213622</v>
      </c>
      <c r="P171" s="33">
        <v>0</v>
      </c>
      <c r="Q171" s="33">
        <v>219829</v>
      </c>
      <c r="R171" s="33">
        <v>1730</v>
      </c>
      <c r="S171" s="33">
        <v>2035</v>
      </c>
      <c r="T171" s="33">
        <f>42200+3198</f>
        <v>45398</v>
      </c>
      <c r="U171" s="33">
        <v>600</v>
      </c>
      <c r="V171" s="33">
        <v>22395</v>
      </c>
      <c r="W171" s="33">
        <v>10593</v>
      </c>
      <c r="X171" s="33">
        <v>5250</v>
      </c>
      <c r="Y171" s="33">
        <f>6330+14170+17146</f>
        <v>37646</v>
      </c>
      <c r="Z171" s="33">
        <v>6971</v>
      </c>
      <c r="AA171" s="33">
        <v>772</v>
      </c>
      <c r="AB171" s="33">
        <v>4336</v>
      </c>
      <c r="AC171" s="33">
        <v>156274</v>
      </c>
      <c r="AD171" s="33">
        <v>33633</v>
      </c>
      <c r="AE171" s="33">
        <v>543386</v>
      </c>
      <c r="AF171" s="31">
        <f t="shared" si="9"/>
        <v>6.1895227333792185E-2</v>
      </c>
      <c r="AG171" s="33">
        <v>123484</v>
      </c>
      <c r="AH171" s="33">
        <v>123103</v>
      </c>
      <c r="AI171" s="33">
        <v>381</v>
      </c>
      <c r="AJ171" s="33">
        <v>78934</v>
      </c>
      <c r="AK171" s="33">
        <v>0</v>
      </c>
      <c r="AL171" s="33">
        <v>0</v>
      </c>
      <c r="AM171" s="33">
        <v>0</v>
      </c>
      <c r="AN171" s="33">
        <v>1687</v>
      </c>
      <c r="AO171" s="33">
        <v>1727</v>
      </c>
      <c r="AP171" s="35">
        <v>0</v>
      </c>
    </row>
    <row r="172" spans="1:42">
      <c r="A172" s="5">
        <v>21</v>
      </c>
      <c r="B172" s="22" t="s">
        <v>210</v>
      </c>
      <c r="C172" s="17" t="s">
        <v>282</v>
      </c>
      <c r="D172" s="22" t="s">
        <v>498</v>
      </c>
      <c r="E172" s="22" t="s">
        <v>172</v>
      </c>
      <c r="F172" s="33">
        <v>2056662</v>
      </c>
      <c r="G172" s="33">
        <v>87726</v>
      </c>
      <c r="H172" s="33">
        <v>1115741</v>
      </c>
      <c r="I172" s="33">
        <v>235285</v>
      </c>
      <c r="J172" s="33">
        <v>353132</v>
      </c>
      <c r="K172" s="33">
        <v>1943544</v>
      </c>
      <c r="L172" s="28">
        <v>2.1</v>
      </c>
      <c r="M172" s="31">
        <f>192310/1923097</f>
        <v>0.10000015599837138</v>
      </c>
      <c r="N172" s="33">
        <v>192354</v>
      </c>
      <c r="O172" s="33">
        <v>5770</v>
      </c>
      <c r="P172" s="33">
        <v>0</v>
      </c>
      <c r="Q172" s="33">
        <v>29772</v>
      </c>
      <c r="R172" s="33">
        <v>10080</v>
      </c>
      <c r="S172" s="33">
        <v>0</v>
      </c>
      <c r="T172" s="33">
        <v>4467</v>
      </c>
      <c r="U172" s="33">
        <v>170</v>
      </c>
      <c r="V172" s="33">
        <v>6782</v>
      </c>
      <c r="W172" s="33">
        <v>5000</v>
      </c>
      <c r="X172" s="33">
        <v>0</v>
      </c>
      <c r="Y172" s="33">
        <f>11715+4724+5882</f>
        <v>22321</v>
      </c>
      <c r="Z172" s="33">
        <v>699</v>
      </c>
      <c r="AA172" s="33">
        <v>4331</v>
      </c>
      <c r="AB172" s="33">
        <v>0</v>
      </c>
      <c r="AC172" s="33">
        <v>14119</v>
      </c>
      <c r="AD172" s="33">
        <v>1167</v>
      </c>
      <c r="AE172" s="33">
        <v>106091</v>
      </c>
      <c r="AF172" s="31">
        <f t="shared" si="9"/>
        <v>1.0999990574129757E-2</v>
      </c>
      <c r="AG172" s="33">
        <v>102991</v>
      </c>
      <c r="AH172" s="33">
        <v>98447</v>
      </c>
      <c r="AI172" s="33">
        <v>4544</v>
      </c>
      <c r="AJ172" s="33">
        <v>5735</v>
      </c>
      <c r="AK172" s="33">
        <v>0</v>
      </c>
      <c r="AL172" s="33">
        <v>0</v>
      </c>
      <c r="AM172" s="33">
        <v>0</v>
      </c>
      <c r="AN172" s="33">
        <v>590</v>
      </c>
      <c r="AO172" s="33">
        <v>510</v>
      </c>
      <c r="AP172" s="35">
        <v>13</v>
      </c>
    </row>
    <row r="173" spans="1:42">
      <c r="A173" s="5">
        <v>21</v>
      </c>
      <c r="B173" s="22" t="s">
        <v>225</v>
      </c>
      <c r="C173" s="17" t="s">
        <v>84</v>
      </c>
      <c r="D173" s="22" t="s">
        <v>302</v>
      </c>
      <c r="E173" s="22" t="s">
        <v>184</v>
      </c>
      <c r="F173" s="33">
        <v>30112850</v>
      </c>
      <c r="G173" s="33">
        <v>1272318</v>
      </c>
      <c r="H173" s="33">
        <v>17235522</v>
      </c>
      <c r="I173" s="33">
        <v>1676500</v>
      </c>
      <c r="J173" s="33">
        <v>6651913</v>
      </c>
      <c r="K173" s="33">
        <v>28743696</v>
      </c>
      <c r="L173" s="28">
        <v>1.2</v>
      </c>
      <c r="M173" s="31">
        <f>1283396/28627056</f>
        <v>4.4831574717288429E-2</v>
      </c>
      <c r="N173" s="33">
        <v>1283528</v>
      </c>
      <c r="O173" s="33">
        <v>291982</v>
      </c>
      <c r="P173" s="33">
        <v>0</v>
      </c>
      <c r="Q173" s="33">
        <v>677405</v>
      </c>
      <c r="R173" s="33">
        <v>55106</v>
      </c>
      <c r="S173" s="33">
        <v>218555</v>
      </c>
      <c r="T173" s="33">
        <v>85538</v>
      </c>
      <c r="U173" s="33">
        <v>2487</v>
      </c>
      <c r="V173" s="33">
        <v>16452</v>
      </c>
      <c r="W173" s="33">
        <v>12750</v>
      </c>
      <c r="X173" s="33">
        <v>0</v>
      </c>
      <c r="Y173" s="33">
        <f>38007+41769+45569</f>
        <v>125345</v>
      </c>
      <c r="Z173" s="33">
        <v>10466</v>
      </c>
      <c r="AA173" s="33">
        <f>2702+498+540</f>
        <v>3740</v>
      </c>
      <c r="AB173" s="33">
        <v>6917</v>
      </c>
      <c r="AC173" s="33">
        <v>11760</v>
      </c>
      <c r="AD173" s="33">
        <v>0</v>
      </c>
      <c r="AE173" s="33">
        <v>1336585</v>
      </c>
      <c r="AF173" s="31">
        <f t="shared" si="9"/>
        <v>0</v>
      </c>
      <c r="AG173" s="33">
        <v>122177</v>
      </c>
      <c r="AH173" s="33">
        <v>122177</v>
      </c>
      <c r="AI173" s="33">
        <v>0</v>
      </c>
      <c r="AJ173" s="33">
        <v>175713</v>
      </c>
      <c r="AK173" s="33">
        <v>0</v>
      </c>
      <c r="AL173" s="33">
        <v>0</v>
      </c>
      <c r="AM173" s="33">
        <v>0</v>
      </c>
      <c r="AN173" s="33">
        <v>9539</v>
      </c>
      <c r="AO173" s="33">
        <v>13857</v>
      </c>
      <c r="AP173" s="35">
        <v>8</v>
      </c>
    </row>
    <row r="174" spans="1:42">
      <c r="A174" s="5">
        <v>21</v>
      </c>
      <c r="B174" s="22" t="s">
        <v>250</v>
      </c>
      <c r="C174" s="17" t="s">
        <v>244</v>
      </c>
      <c r="D174" s="22" t="s">
        <v>450</v>
      </c>
      <c r="E174" s="22" t="s">
        <v>400</v>
      </c>
      <c r="F174" s="33">
        <v>31353445</v>
      </c>
      <c r="G174" s="33">
        <v>1342713</v>
      </c>
      <c r="H174" s="33">
        <v>7398152</v>
      </c>
      <c r="I174" s="33">
        <v>2060834</v>
      </c>
      <c r="J174" s="33">
        <v>17077667</v>
      </c>
      <c r="K174" s="33">
        <v>31136344</v>
      </c>
      <c r="L174" s="28">
        <v>1.4</v>
      </c>
      <c r="M174" s="31">
        <f>1433590/31010233</f>
        <v>4.622957847495051E-2</v>
      </c>
      <c r="N174" s="33">
        <v>1433638</v>
      </c>
      <c r="O174" s="33">
        <v>429745</v>
      </c>
      <c r="P174" s="33">
        <v>0</v>
      </c>
      <c r="Q174" s="33">
        <v>911837</v>
      </c>
      <c r="R174" s="33">
        <v>87011</v>
      </c>
      <c r="S174" s="33">
        <v>248000</v>
      </c>
      <c r="T174" s="33">
        <f>137543+25308</f>
        <v>162851</v>
      </c>
      <c r="U174" s="33">
        <v>0</v>
      </c>
      <c r="V174" s="33">
        <v>40406</v>
      </c>
      <c r="W174" s="33">
        <v>9250</v>
      </c>
      <c r="X174" s="33">
        <v>0</v>
      </c>
      <c r="Y174" s="33">
        <f>24625+47911+56972</f>
        <v>129508</v>
      </c>
      <c r="Z174" s="33">
        <v>27517</v>
      </c>
      <c r="AA174" s="33">
        <v>2085</v>
      </c>
      <c r="AB174" s="33">
        <v>0</v>
      </c>
      <c r="AC174" s="33">
        <v>22283</v>
      </c>
      <c r="AD174" s="33">
        <v>0</v>
      </c>
      <c r="AE174" s="33">
        <v>1750242</v>
      </c>
      <c r="AF174" s="31">
        <f t="shared" si="9"/>
        <v>0</v>
      </c>
      <c r="AG174" s="33">
        <v>122185</v>
      </c>
      <c r="AH174" s="33">
        <v>122177</v>
      </c>
      <c r="AI174" s="33">
        <v>8</v>
      </c>
      <c r="AJ174" s="33">
        <v>184581</v>
      </c>
      <c r="AK174" s="33">
        <v>0</v>
      </c>
      <c r="AL174" s="33">
        <v>0</v>
      </c>
      <c r="AM174" s="33">
        <v>0</v>
      </c>
      <c r="AN174" s="33">
        <v>13817</v>
      </c>
      <c r="AO174" s="33">
        <v>14464</v>
      </c>
      <c r="AP174" s="35">
        <v>0</v>
      </c>
    </row>
    <row r="175" spans="1:42">
      <c r="A175" s="5">
        <v>21</v>
      </c>
      <c r="B175" s="22" t="s">
        <v>378</v>
      </c>
      <c r="C175" s="17" t="s">
        <v>422</v>
      </c>
      <c r="D175" s="22" t="s">
        <v>546</v>
      </c>
      <c r="E175" s="22" t="s">
        <v>172</v>
      </c>
      <c r="F175" s="33">
        <v>6339062</v>
      </c>
      <c r="G175" s="33">
        <v>298616</v>
      </c>
      <c r="H175" s="33">
        <v>4491835</v>
      </c>
      <c r="I175" s="33">
        <v>417734</v>
      </c>
      <c r="J175" s="33">
        <v>458558</v>
      </c>
      <c r="K175" s="33">
        <v>5771846</v>
      </c>
      <c r="L175" s="28">
        <v>1.5</v>
      </c>
      <c r="M175" s="31">
        <f>272062/5355541</f>
        <v>5.0800096572876575E-2</v>
      </c>
      <c r="N175" s="33">
        <v>274855</v>
      </c>
      <c r="O175" s="33">
        <v>45952</v>
      </c>
      <c r="P175" s="33">
        <v>0</v>
      </c>
      <c r="Q175" s="33">
        <v>109040</v>
      </c>
      <c r="R175" s="33">
        <v>9261</v>
      </c>
      <c r="S175" s="33">
        <v>21339</v>
      </c>
      <c r="T175" s="33">
        <v>17625</v>
      </c>
      <c r="U175" s="33">
        <v>725</v>
      </c>
      <c r="V175" s="33">
        <v>3000</v>
      </c>
      <c r="W175" s="33">
        <v>6215</v>
      </c>
      <c r="X175" s="33">
        <v>0</v>
      </c>
      <c r="Y175" s="33">
        <f>2191+7386+5659</f>
        <v>15236</v>
      </c>
      <c r="Z175" s="33">
        <v>3964</v>
      </c>
      <c r="AA175" s="33">
        <v>406</v>
      </c>
      <c r="AB175" s="33">
        <v>490</v>
      </c>
      <c r="AC175" s="33">
        <v>3300</v>
      </c>
      <c r="AD175" s="33">
        <v>0</v>
      </c>
      <c r="AE175" s="33">
        <v>199997</v>
      </c>
      <c r="AF175" s="31">
        <f t="shared" si="9"/>
        <v>0</v>
      </c>
      <c r="AG175" s="33">
        <v>122177</v>
      </c>
      <c r="AH175" s="33">
        <v>122177</v>
      </c>
      <c r="AI175" s="33">
        <v>0</v>
      </c>
      <c r="AJ175" s="33">
        <v>34760</v>
      </c>
      <c r="AK175" s="33">
        <v>761</v>
      </c>
      <c r="AL175" s="33">
        <v>761</v>
      </c>
      <c r="AM175" s="33">
        <v>0</v>
      </c>
      <c r="AN175" s="33">
        <v>888</v>
      </c>
      <c r="AO175" s="33">
        <v>665</v>
      </c>
      <c r="AP175" s="35">
        <v>0</v>
      </c>
    </row>
    <row r="176" spans="1:42">
      <c r="A176" s="5">
        <v>21</v>
      </c>
      <c r="B176" s="22" t="s">
        <v>438</v>
      </c>
      <c r="C176" s="17" t="s">
        <v>428</v>
      </c>
      <c r="D176" s="22" t="s">
        <v>324</v>
      </c>
      <c r="E176" s="22" t="s">
        <v>172</v>
      </c>
      <c r="F176" s="33">
        <v>18900420</v>
      </c>
      <c r="G176" s="33">
        <v>521865</v>
      </c>
      <c r="H176" s="33">
        <v>17622707</v>
      </c>
      <c r="I176" s="33">
        <v>624714</v>
      </c>
      <c r="J176" s="33">
        <v>1497407</v>
      </c>
      <c r="K176" s="33">
        <v>20925620</v>
      </c>
      <c r="L176" s="28">
        <v>1.8</v>
      </c>
      <c r="M176" s="31">
        <f>538369/20901684</f>
        <v>2.5757206931269271E-2</v>
      </c>
      <c r="N176" s="33">
        <v>536220</v>
      </c>
      <c r="O176" s="33">
        <v>328022</v>
      </c>
      <c r="P176" s="33">
        <v>0</v>
      </c>
      <c r="Q176" s="33">
        <v>289814</v>
      </c>
      <c r="R176" s="33">
        <v>88947</v>
      </c>
      <c r="S176" s="33">
        <v>52458</v>
      </c>
      <c r="T176" s="33">
        <v>126853</v>
      </c>
      <c r="U176" s="33">
        <v>6229</v>
      </c>
      <c r="V176" s="33">
        <v>18341</v>
      </c>
      <c r="W176" s="33">
        <v>5750</v>
      </c>
      <c r="X176" s="33">
        <v>0</v>
      </c>
      <c r="Y176" s="33">
        <f>28697+12634+20141</f>
        <v>61472</v>
      </c>
      <c r="Z176" s="33">
        <v>10459</v>
      </c>
      <c r="AA176" s="33">
        <v>250</v>
      </c>
      <c r="AB176" s="33">
        <v>0</v>
      </c>
      <c r="AC176" s="33">
        <v>4672</v>
      </c>
      <c r="AD176" s="33">
        <v>165185</v>
      </c>
      <c r="AE176" s="33">
        <v>749429</v>
      </c>
      <c r="AF176" s="31">
        <f t="shared" si="9"/>
        <v>0.22041447555405516</v>
      </c>
      <c r="AG176" s="33">
        <v>103910</v>
      </c>
      <c r="AH176" s="33">
        <v>103910</v>
      </c>
      <c r="AI176" s="33">
        <v>0</v>
      </c>
      <c r="AJ176" s="33">
        <v>108681</v>
      </c>
      <c r="AK176" s="33">
        <v>0</v>
      </c>
      <c r="AL176" s="33">
        <v>0</v>
      </c>
      <c r="AM176" s="33">
        <v>0</v>
      </c>
      <c r="AN176" s="33">
        <v>2347</v>
      </c>
      <c r="AO176" s="33">
        <v>2497</v>
      </c>
      <c r="AP176" s="32">
        <v>0</v>
      </c>
    </row>
    <row r="177" spans="1:42">
      <c r="A177" s="5">
        <v>21</v>
      </c>
      <c r="B177" s="22" t="s">
        <v>475</v>
      </c>
      <c r="C177" s="17" t="s">
        <v>26</v>
      </c>
      <c r="D177" s="22" t="s">
        <v>111</v>
      </c>
      <c r="E177" s="22" t="s">
        <v>184</v>
      </c>
      <c r="F177" s="33">
        <v>15903028</v>
      </c>
      <c r="G177" s="33">
        <v>339534</v>
      </c>
      <c r="H177" s="33">
        <v>9768794</v>
      </c>
      <c r="I177" s="33">
        <v>874660</v>
      </c>
      <c r="J177" s="33">
        <v>2731566</v>
      </c>
      <c r="K177" s="33">
        <v>15385004</v>
      </c>
      <c r="L177" s="28">
        <v>1.33</v>
      </c>
      <c r="M177" s="31">
        <f>876377/15374354</f>
        <v>5.700252511422594E-2</v>
      </c>
      <c r="N177" s="33">
        <v>875372</v>
      </c>
      <c r="O177" s="33">
        <v>0</v>
      </c>
      <c r="P177" s="33">
        <v>0</v>
      </c>
      <c r="Q177" s="33">
        <v>215819</v>
      </c>
      <c r="R177" s="33">
        <v>21571</v>
      </c>
      <c r="S177" s="33">
        <v>56794</v>
      </c>
      <c r="T177" s="33">
        <v>56443</v>
      </c>
      <c r="U177" s="33">
        <v>51414</v>
      </c>
      <c r="V177" s="33">
        <v>16332</v>
      </c>
      <c r="W177" s="33">
        <v>0</v>
      </c>
      <c r="X177" s="33">
        <v>0</v>
      </c>
      <c r="Y177" s="33">
        <f>23370+28150+26823</f>
        <v>78343</v>
      </c>
      <c r="Z177" s="33">
        <v>4038</v>
      </c>
      <c r="AA177" s="33">
        <f>5058+2692+2188</f>
        <v>9938</v>
      </c>
      <c r="AB177" s="33">
        <v>540</v>
      </c>
      <c r="AC177" s="33">
        <v>220087</v>
      </c>
      <c r="AD177" s="33">
        <v>0</v>
      </c>
      <c r="AE177" s="33">
        <v>799616</v>
      </c>
      <c r="AF177" s="31">
        <f t="shared" si="9"/>
        <v>0</v>
      </c>
      <c r="AG177" s="33">
        <v>122177</v>
      </c>
      <c r="AH177" s="33">
        <v>122177</v>
      </c>
      <c r="AI177" s="33">
        <v>0</v>
      </c>
      <c r="AJ177" s="33">
        <v>98214</v>
      </c>
      <c r="AK177" s="33">
        <v>0</v>
      </c>
      <c r="AL177" s="33">
        <v>0</v>
      </c>
      <c r="AM177" s="33">
        <v>0</v>
      </c>
      <c r="AN177" s="33">
        <v>5084</v>
      </c>
      <c r="AO177" s="33">
        <v>0</v>
      </c>
      <c r="AP177" s="32">
        <v>7</v>
      </c>
    </row>
    <row r="178" spans="1:42">
      <c r="A178" s="5">
        <v>21</v>
      </c>
      <c r="B178" s="22" t="s">
        <v>475</v>
      </c>
      <c r="C178" s="17" t="s">
        <v>504</v>
      </c>
      <c r="D178" s="22" t="s">
        <v>69</v>
      </c>
      <c r="E178" s="22" t="s">
        <v>172</v>
      </c>
      <c r="F178" s="33">
        <v>13434258</v>
      </c>
      <c r="G178" s="33">
        <v>940436</v>
      </c>
      <c r="H178" s="33">
        <v>6345901</v>
      </c>
      <c r="I178" s="33">
        <v>1603172</v>
      </c>
      <c r="J178" s="33">
        <v>4679893</v>
      </c>
      <c r="K178" s="33">
        <v>13402615</v>
      </c>
      <c r="L178" s="28">
        <v>1.2</v>
      </c>
      <c r="M178" s="31">
        <f>477751/13371093</f>
        <v>3.5730138142035212E-2</v>
      </c>
      <c r="N178" s="33">
        <v>479806</v>
      </c>
      <c r="O178" s="33">
        <v>165884</v>
      </c>
      <c r="P178" s="33">
        <v>0</v>
      </c>
      <c r="Q178" s="33">
        <v>286667</v>
      </c>
      <c r="R178" s="33">
        <v>25871</v>
      </c>
      <c r="S178" s="33">
        <v>38427</v>
      </c>
      <c r="T178" s="33">
        <f>43367+1219</f>
        <v>44586</v>
      </c>
      <c r="U178" s="33">
        <v>0</v>
      </c>
      <c r="V178" s="33">
        <v>11181</v>
      </c>
      <c r="W178" s="33">
        <v>5750</v>
      </c>
      <c r="X178" s="33">
        <v>0</v>
      </c>
      <c r="Y178" s="33">
        <f>12234+25291+14598</f>
        <v>52123</v>
      </c>
      <c r="Z178" s="33">
        <v>4267</v>
      </c>
      <c r="AA178" s="33">
        <f>2417+1146</f>
        <v>3563</v>
      </c>
      <c r="AB178" s="33">
        <v>527</v>
      </c>
      <c r="AC178" s="33">
        <v>10062</v>
      </c>
      <c r="AD178" s="33">
        <v>3622</v>
      </c>
      <c r="AE178" s="33">
        <v>499567</v>
      </c>
      <c r="AF178" s="31">
        <f t="shared" si="9"/>
        <v>7.2502787413900437E-3</v>
      </c>
      <c r="AG178" s="33">
        <v>122178</v>
      </c>
      <c r="AH178" s="33">
        <v>122177</v>
      </c>
      <c r="AI178" s="33">
        <v>1</v>
      </c>
      <c r="AJ178" s="33">
        <v>74505</v>
      </c>
      <c r="AK178" s="33">
        <v>0</v>
      </c>
      <c r="AL178" s="33">
        <v>0</v>
      </c>
      <c r="AM178" s="33">
        <v>0</v>
      </c>
      <c r="AN178" s="33">
        <v>3541</v>
      </c>
      <c r="AO178" s="33">
        <v>3819</v>
      </c>
      <c r="AP178" s="32">
        <v>0</v>
      </c>
    </row>
    <row r="179" spans="1:42">
      <c r="A179" s="5">
        <v>21</v>
      </c>
      <c r="B179" s="22" t="s">
        <v>505</v>
      </c>
      <c r="C179" s="17" t="s">
        <v>311</v>
      </c>
      <c r="D179" s="22" t="s">
        <v>33</v>
      </c>
      <c r="E179" s="22" t="s">
        <v>184</v>
      </c>
      <c r="F179" s="33">
        <v>50991466</v>
      </c>
      <c r="G179" s="33">
        <v>1051275</v>
      </c>
      <c r="H179" s="33">
        <v>34079200</v>
      </c>
      <c r="I179" s="33">
        <v>146464</v>
      </c>
      <c r="J179" s="33">
        <v>7939124</v>
      </c>
      <c r="K179" s="33">
        <v>49593911</v>
      </c>
      <c r="L179" s="28">
        <v>0.49</v>
      </c>
      <c r="M179" s="31">
        <f>1686016/49588714</f>
        <v>3.3999994434217432E-2</v>
      </c>
      <c r="N179" s="33">
        <v>1686711</v>
      </c>
      <c r="O179" s="33">
        <v>331306</v>
      </c>
      <c r="P179" s="33">
        <v>0</v>
      </c>
      <c r="Q179" s="33">
        <v>852900</v>
      </c>
      <c r="R179" s="33">
        <v>64929</v>
      </c>
      <c r="S179" s="33">
        <v>257446</v>
      </c>
      <c r="T179" s="33">
        <v>136046</v>
      </c>
      <c r="U179" s="33">
        <v>1762</v>
      </c>
      <c r="V179" s="33">
        <v>16457</v>
      </c>
      <c r="W179" s="33">
        <v>13350</v>
      </c>
      <c r="X179" s="33">
        <v>0</v>
      </c>
      <c r="Y179" s="33">
        <f>31111+66001+33363</f>
        <v>130475</v>
      </c>
      <c r="Z179" s="33">
        <v>10595</v>
      </c>
      <c r="AA179" s="33">
        <f>5479+7656</f>
        <v>13135</v>
      </c>
      <c r="AB179" s="33">
        <v>0</v>
      </c>
      <c r="AC179" s="33">
        <v>156232</v>
      </c>
      <c r="AD179" s="33">
        <v>0</v>
      </c>
      <c r="AE179" s="33">
        <v>1709424</v>
      </c>
      <c r="AF179" s="31">
        <f t="shared" si="9"/>
        <v>0</v>
      </c>
      <c r="AG179" s="33">
        <v>122177</v>
      </c>
      <c r="AH179" s="33">
        <v>122177</v>
      </c>
      <c r="AI179" s="33">
        <v>0</v>
      </c>
      <c r="AJ179" s="33">
        <v>274011</v>
      </c>
      <c r="AK179" s="33">
        <v>0</v>
      </c>
      <c r="AL179" s="33">
        <v>0</v>
      </c>
      <c r="AM179" s="33">
        <v>0</v>
      </c>
      <c r="AN179" s="33">
        <v>16789</v>
      </c>
      <c r="AO179" s="33">
        <v>16455</v>
      </c>
      <c r="AP179" s="32">
        <v>11</v>
      </c>
    </row>
    <row r="180" spans="1:42">
      <c r="A180" s="5">
        <v>21</v>
      </c>
      <c r="B180" s="22" t="s">
        <v>536</v>
      </c>
      <c r="C180" s="17" t="s">
        <v>429</v>
      </c>
      <c r="D180" s="22" t="s">
        <v>204</v>
      </c>
      <c r="E180" s="22" t="s">
        <v>172</v>
      </c>
      <c r="F180" s="33">
        <v>5442896</v>
      </c>
      <c r="G180" s="33">
        <v>260802</v>
      </c>
      <c r="H180" s="33">
        <v>3284955</v>
      </c>
      <c r="I180" s="33">
        <v>82710</v>
      </c>
      <c r="J180" s="33">
        <v>21736</v>
      </c>
      <c r="K180" s="33">
        <v>4120787</v>
      </c>
      <c r="L180" s="28">
        <v>1.74</v>
      </c>
      <c r="M180" s="31">
        <f>409325/4093251</f>
        <v>9.9999975569541183E-2</v>
      </c>
      <c r="N180" s="33">
        <v>409325</v>
      </c>
      <c r="O180" s="33">
        <v>36</v>
      </c>
      <c r="P180" s="33">
        <v>0</v>
      </c>
      <c r="Q180" s="33">
        <v>81763</v>
      </c>
      <c r="R180" s="33">
        <v>21103</v>
      </c>
      <c r="S180" s="33">
        <v>8402</v>
      </c>
      <c r="T180" s="33">
        <v>22710</v>
      </c>
      <c r="U180" s="33">
        <v>2812</v>
      </c>
      <c r="V180" s="33">
        <v>5855</v>
      </c>
      <c r="W180" s="33">
        <v>0</v>
      </c>
      <c r="X180" s="33">
        <v>0</v>
      </c>
      <c r="Y180" s="33">
        <f>7589+4914+9071</f>
        <v>21574</v>
      </c>
      <c r="Z180" s="33">
        <v>4330</v>
      </c>
      <c r="AA180" s="33">
        <v>438</v>
      </c>
      <c r="AB180" s="33">
        <v>4701</v>
      </c>
      <c r="AC180" s="33">
        <v>125381</v>
      </c>
      <c r="AD180" s="33">
        <v>0</v>
      </c>
      <c r="AE180" s="33">
        <v>316070</v>
      </c>
      <c r="AF180" s="31">
        <f t="shared" si="9"/>
        <v>0</v>
      </c>
      <c r="AG180" s="33">
        <v>122177</v>
      </c>
      <c r="AH180" s="33">
        <v>122177</v>
      </c>
      <c r="AI180" s="33">
        <v>0</v>
      </c>
      <c r="AJ180" s="33">
        <v>5305</v>
      </c>
      <c r="AK180" s="33">
        <v>0</v>
      </c>
      <c r="AL180" s="33">
        <v>0</v>
      </c>
      <c r="AM180" s="33">
        <v>0</v>
      </c>
      <c r="AN180" s="33">
        <v>1082</v>
      </c>
      <c r="AO180" s="33" t="s">
        <v>345</v>
      </c>
      <c r="AP180" s="32">
        <v>0</v>
      </c>
    </row>
    <row r="182" spans="1:42">
      <c r="A182" s="10"/>
    </row>
    <row r="185" spans="1:42">
      <c r="P185" t="s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DISB</vt:lpstr>
      <vt:lpstr>NAMES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 Trustee Program</cp:lastModifiedBy>
  <dcterms:created xsi:type="dcterms:W3CDTF">2012-08-29T16:53:12Z</dcterms:created>
  <dcterms:modified xsi:type="dcterms:W3CDTF">2012-08-29T16:53:13Z</dcterms:modified>
</cp:coreProperties>
</file>