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36" windowHeight="9444"/>
  </bookViews>
  <sheets>
    <sheet name="A" sheetId="1" r:id="rId1"/>
  </sheets>
  <definedNames>
    <definedName name="ALLOC2">A!$AE$19:$AE$29</definedName>
    <definedName name="ALLOC8">A!$AE$73:$AE$81</definedName>
    <definedName name="_AUD13">A!$AX$123:$BG$126</definedName>
    <definedName name="AUDIT">A!$AX$19:$BG$29</definedName>
    <definedName name="AUDIT8">A!$AW$73:$BG$81</definedName>
    <definedName name="BU">A!$J$138:$N$138</definedName>
    <definedName name="CASH">A!$O$30:$O$36</definedName>
    <definedName name="CASH13">A!$O$123:$O$126</definedName>
    <definedName name="CASH2">A!$O$19:$O$29</definedName>
    <definedName name="CASH8">A!$O$73:$O$81</definedName>
    <definedName name="DATA">A!$J$146:$N$159</definedName>
    <definedName name="DISB">A!$J$19:$L$29</definedName>
    <definedName name="DISB13">A!$J$123:$N$126</definedName>
    <definedName name="DISB8">A!$J$73:$L$81</definedName>
    <definedName name="DISBTOT8">A!$N$73:$N$81</definedName>
    <definedName name="ELEVEN">A!$C$111:$AY$116</definedName>
    <definedName name="EN">A!$J$140:$N$140</definedName>
    <definedName name="EXP">A!$AE$30:$AF$36</definedName>
    <definedName name="_EXP13">A!$AE$123:$AF$126</definedName>
    <definedName name="_EXP2">A!$AF$19:$AF$29</definedName>
    <definedName name="_EXP8">A!$AF$73:$AF$81</definedName>
    <definedName name="LO">A!$J$142:$N$145</definedName>
    <definedName name="_LO2">A!$AE$142:$AF$145</definedName>
    <definedName name="NAMES">A!$B$12:$D$180</definedName>
    <definedName name="NINE">A!$C$82:$AY$96</definedName>
    <definedName name="OLD">A!$BC$30:$BC$36</definedName>
    <definedName name="OVER2">A!$BC$19:$BC$29</definedName>
    <definedName name="OVER60">A!$BC$123:$BC$126</definedName>
    <definedName name="OVER8">A!$BC$73:$BC$81</definedName>
    <definedName name="_xlnm.Print_Titles" localSheetId="0">A!$A:$B,A!$3:$11</definedName>
    <definedName name="RATIO">A!$O$12:$O$14</definedName>
    <definedName name="_REG12">A!$J$120:$N$122</definedName>
    <definedName name="_REG13">A!$J$123:$N$126</definedName>
    <definedName name="_REG17">A!$J$138:$N$145</definedName>
    <definedName name="_SUM60">A!$BC$16:$BC$16</definedName>
    <definedName name="SUMDISB">A!$J$16:$N$16</definedName>
    <definedName name="SUMEXP">A!$AE$16:$AF$16</definedName>
    <definedName name="SUMRATIO">A!$O$16:$O$16</definedName>
    <definedName name="THIRTEEN">A!$C$123:$AY$126</definedName>
    <definedName name="TOTDISB">A!$N$19:$N$29</definedName>
  </definedNames>
  <calcPr calcId="145621" fullCalcOnLoad="1" iterateCount="2"/>
</workbook>
</file>

<file path=xl/calcChain.xml><?xml version="1.0" encoding="utf-8"?>
<calcChain xmlns="http://schemas.openxmlformats.org/spreadsheetml/2006/main">
  <c r="R9" i="1" l="1"/>
  <c r="S9" i="1"/>
  <c r="Z9" i="1"/>
  <c r="AE9" i="1"/>
  <c r="AH9" i="1"/>
  <c r="AI9" i="1"/>
  <c r="AJ9" i="1"/>
  <c r="AK9" i="1"/>
  <c r="AL9" i="1"/>
  <c r="AM9" i="1"/>
  <c r="AN9" i="1"/>
  <c r="AX9" i="1"/>
  <c r="AZ9" i="1"/>
  <c r="BC9" i="1"/>
  <c r="R10" i="1"/>
  <c r="S10" i="1"/>
  <c r="Z10" i="1"/>
  <c r="AE10" i="1"/>
  <c r="AH10" i="1"/>
  <c r="AI10" i="1"/>
  <c r="AJ10" i="1"/>
  <c r="AK10" i="1"/>
  <c r="AL10" i="1"/>
  <c r="AM10" i="1"/>
  <c r="AN10" i="1"/>
  <c r="AX10" i="1"/>
  <c r="AZ10" i="1"/>
  <c r="BC10" i="1"/>
  <c r="Q12" i="1"/>
  <c r="Q9" i="1" s="1"/>
  <c r="W12" i="1"/>
  <c r="W9" i="1" s="1"/>
  <c r="AA12" i="1"/>
  <c r="AA9" i="1" s="1"/>
  <c r="AG12" i="1"/>
  <c r="AU12" i="1"/>
  <c r="Q13" i="1"/>
  <c r="AA13" i="1"/>
  <c r="AG13" i="1"/>
  <c r="AT13" i="1"/>
  <c r="AU13" i="1" s="1"/>
  <c r="BB13" i="1"/>
  <c r="Q14" i="1"/>
  <c r="W14" i="1"/>
  <c r="AA14" i="1"/>
  <c r="AG14" i="1"/>
  <c r="AU14" i="1"/>
  <c r="BB14" i="1"/>
  <c r="G15" i="1"/>
  <c r="G9" i="1" s="1"/>
  <c r="H15" i="1"/>
  <c r="H10" i="1" s="1"/>
  <c r="I15" i="1"/>
  <c r="I9" i="1" s="1"/>
  <c r="J15" i="1"/>
  <c r="J10" i="1" s="1"/>
  <c r="K15" i="1"/>
  <c r="K9" i="1" s="1"/>
  <c r="L15" i="1"/>
  <c r="L10" i="1" s="1"/>
  <c r="M15" i="1"/>
  <c r="M9" i="1" s="1"/>
  <c r="N15" i="1"/>
  <c r="N10" i="1" s="1"/>
  <c r="O15" i="1"/>
  <c r="O9" i="1" s="1"/>
  <c r="Q15" i="1"/>
  <c r="T15" i="1"/>
  <c r="T10" i="1" s="1"/>
  <c r="U15" i="1"/>
  <c r="U9" i="1" s="1"/>
  <c r="V15" i="1"/>
  <c r="V10" i="1" s="1"/>
  <c r="W15" i="1"/>
  <c r="X15" i="1"/>
  <c r="X10" i="1" s="1"/>
  <c r="Y15" i="1"/>
  <c r="Y9" i="1" s="1"/>
  <c r="AA15" i="1"/>
  <c r="AB15" i="1"/>
  <c r="AB10" i="1" s="1"/>
  <c r="AC15" i="1"/>
  <c r="AC9" i="1" s="1"/>
  <c r="AD15" i="1"/>
  <c r="AD10" i="1" s="1"/>
  <c r="AF15" i="1"/>
  <c r="AF10" i="1" s="1"/>
  <c r="AG15" i="1"/>
  <c r="AP15" i="1"/>
  <c r="AP9" i="1" s="1"/>
  <c r="AQ15" i="1"/>
  <c r="AQ9" i="1" s="1"/>
  <c r="AR15" i="1"/>
  <c r="AR9" i="1" s="1"/>
  <c r="AS15" i="1"/>
  <c r="AS9" i="1" s="1"/>
  <c r="AT15" i="1"/>
  <c r="AU15" i="1"/>
  <c r="Q16" i="1"/>
  <c r="W16" i="1"/>
  <c r="AA16" i="1"/>
  <c r="AG16" i="1"/>
  <c r="AU16" i="1"/>
  <c r="BB16" i="1"/>
  <c r="O17" i="1"/>
  <c r="Q17" i="1"/>
  <c r="AA17" i="1"/>
  <c r="AG17" i="1"/>
  <c r="AU17" i="1"/>
  <c r="BB17" i="1"/>
  <c r="Q18" i="1"/>
  <c r="W18" i="1"/>
  <c r="AA18" i="1"/>
  <c r="AG18" i="1"/>
  <c r="AT18" i="1"/>
  <c r="AU18" i="1"/>
  <c r="Q19" i="1"/>
  <c r="W19" i="1"/>
  <c r="AA19" i="1"/>
  <c r="AG19" i="1"/>
  <c r="AU19" i="1"/>
  <c r="BA19" i="1"/>
  <c r="BA9" i="1" s="1"/>
  <c r="Q20" i="1"/>
  <c r="W20" i="1"/>
  <c r="AA20" i="1"/>
  <c r="AG20" i="1"/>
  <c r="AU20" i="1"/>
  <c r="BB20" i="1"/>
  <c r="Q21" i="1"/>
  <c r="AA21" i="1"/>
  <c r="AG21" i="1"/>
  <c r="AT21" i="1"/>
  <c r="AU21" i="1"/>
  <c r="BA21" i="1"/>
  <c r="BB21" i="1"/>
  <c r="Q22" i="1"/>
  <c r="AA22" i="1"/>
  <c r="AG22" i="1"/>
  <c r="AU22" i="1"/>
  <c r="BB22" i="1"/>
  <c r="Q23" i="1"/>
  <c r="W23" i="1"/>
  <c r="AA23" i="1"/>
  <c r="AG23" i="1"/>
  <c r="AU23" i="1"/>
  <c r="BB23" i="1"/>
  <c r="W24" i="1"/>
  <c r="AA24" i="1"/>
  <c r="AG24" i="1"/>
  <c r="AT24" i="1"/>
  <c r="AU24" i="1"/>
  <c r="BB24" i="1"/>
  <c r="Q25" i="1"/>
  <c r="AA25" i="1"/>
  <c r="AG25" i="1"/>
  <c r="AU25" i="1"/>
  <c r="BB25" i="1"/>
  <c r="Q26" i="1"/>
  <c r="AA26" i="1"/>
  <c r="AG26" i="1"/>
  <c r="AU26" i="1"/>
  <c r="BB26" i="1"/>
  <c r="Q27" i="1"/>
  <c r="AA27" i="1"/>
  <c r="AG27" i="1"/>
  <c r="AU27" i="1"/>
  <c r="BB27" i="1"/>
  <c r="Q28" i="1"/>
  <c r="AA28" i="1"/>
  <c r="AG28" i="1"/>
  <c r="AU28" i="1"/>
  <c r="BB28" i="1"/>
  <c r="Q29" i="1"/>
  <c r="AA29" i="1"/>
  <c r="AG29" i="1"/>
  <c r="AU29" i="1"/>
  <c r="BB29" i="1"/>
  <c r="Q30" i="1"/>
  <c r="W30" i="1"/>
  <c r="AA30" i="1"/>
  <c r="AG30" i="1"/>
  <c r="AU30" i="1"/>
  <c r="BB30" i="1"/>
  <c r="Q31" i="1"/>
  <c r="AA31" i="1"/>
  <c r="AG31" i="1"/>
  <c r="AT31" i="1"/>
  <c r="AU31" i="1" s="1"/>
  <c r="BA31" i="1"/>
  <c r="BB31" i="1" s="1"/>
  <c r="Q32" i="1"/>
  <c r="AA32" i="1"/>
  <c r="AG32" i="1"/>
  <c r="AU32" i="1"/>
  <c r="BB32" i="1"/>
  <c r="Q33" i="1"/>
  <c r="W33" i="1"/>
  <c r="AA33" i="1"/>
  <c r="AG33" i="1"/>
  <c r="AU33" i="1"/>
  <c r="BB33" i="1"/>
  <c r="Q34" i="1"/>
  <c r="AA34" i="1"/>
  <c r="AG34" i="1"/>
  <c r="AU34" i="1"/>
  <c r="BB34" i="1"/>
  <c r="Q35" i="1"/>
  <c r="AA35" i="1"/>
  <c r="AG35" i="1"/>
  <c r="AT35" i="1"/>
  <c r="AU35" i="1"/>
  <c r="BA35" i="1"/>
  <c r="BB35" i="1"/>
  <c r="P36" i="1"/>
  <c r="P9" i="1" s="1"/>
  <c r="Q36" i="1"/>
  <c r="W36" i="1"/>
  <c r="AA36" i="1"/>
  <c r="AG36" i="1"/>
  <c r="AT36" i="1"/>
  <c r="AU36" i="1" s="1"/>
  <c r="BB36" i="1"/>
  <c r="Q37" i="1"/>
  <c r="AA37" i="1"/>
  <c r="AG37" i="1"/>
  <c r="AU37" i="1"/>
  <c r="BA37" i="1"/>
  <c r="BB37" i="1"/>
  <c r="Q38" i="1"/>
  <c r="AA38" i="1"/>
  <c r="AD38" i="1"/>
  <c r="AG38" i="1"/>
  <c r="AU38" i="1"/>
  <c r="BB38" i="1"/>
  <c r="Q39" i="1"/>
  <c r="AA39" i="1"/>
  <c r="AD39" i="1"/>
  <c r="AG39" i="1"/>
  <c r="AU39" i="1"/>
  <c r="BB39" i="1"/>
  <c r="Q40" i="1"/>
  <c r="AA40" i="1"/>
  <c r="AG40" i="1"/>
  <c r="AO40" i="1"/>
  <c r="AO9" i="1" s="1"/>
  <c r="AV40" i="1"/>
  <c r="BB40" i="1" s="1"/>
  <c r="Q41" i="1"/>
  <c r="W41" i="1"/>
  <c r="AA41" i="1"/>
  <c r="AG41" i="1"/>
  <c r="AT41" i="1"/>
  <c r="AU41" i="1" s="1"/>
  <c r="BB41" i="1"/>
  <c r="Q42" i="1"/>
  <c r="AA42" i="1"/>
  <c r="AG42" i="1"/>
  <c r="AU42" i="1"/>
  <c r="BB42" i="1"/>
  <c r="Q43" i="1"/>
  <c r="W43" i="1"/>
  <c r="AA43" i="1"/>
  <c r="AG43" i="1"/>
  <c r="AP43" i="1"/>
  <c r="AU43" i="1" s="1"/>
  <c r="AW43" i="1"/>
  <c r="AW9" i="1" s="1"/>
  <c r="Q44" i="1"/>
  <c r="AA44" i="1"/>
  <c r="AG44" i="1"/>
  <c r="AU44" i="1"/>
  <c r="BB44" i="1"/>
  <c r="Q45" i="1"/>
  <c r="W45" i="1"/>
  <c r="AA45" i="1"/>
  <c r="AG45" i="1"/>
  <c r="AT45" i="1"/>
  <c r="AU45" i="1"/>
  <c r="BA45" i="1"/>
  <c r="BB45" i="1"/>
  <c r="Q46" i="1"/>
  <c r="AA46" i="1"/>
  <c r="AG46" i="1"/>
  <c r="AU46" i="1"/>
  <c r="BA46" i="1"/>
  <c r="BB46" i="1"/>
  <c r="Q47" i="1"/>
  <c r="W47" i="1"/>
  <c r="AA47" i="1"/>
  <c r="AG47" i="1"/>
  <c r="AU47" i="1"/>
  <c r="BB47" i="1"/>
  <c r="P48" i="1"/>
  <c r="Q48" i="1"/>
  <c r="X48" i="1"/>
  <c r="AA48" i="1"/>
  <c r="AG48" i="1"/>
  <c r="AT48" i="1"/>
  <c r="AU48" i="1" s="1"/>
  <c r="BA48" i="1"/>
  <c r="BB48" i="1" s="1"/>
  <c r="Q49" i="1"/>
  <c r="T49" i="1"/>
  <c r="U49" i="1"/>
  <c r="V49" i="1"/>
  <c r="W49" i="1"/>
  <c r="AA49" i="1"/>
  <c r="AG49" i="1"/>
  <c r="AT49" i="1"/>
  <c r="AU49" i="1"/>
  <c r="BA49" i="1"/>
  <c r="BB49" i="1"/>
  <c r="Q50" i="1"/>
  <c r="AA50" i="1"/>
  <c r="AG50" i="1"/>
  <c r="AU50" i="1"/>
  <c r="BB50" i="1"/>
  <c r="Q51" i="1"/>
  <c r="W51" i="1"/>
  <c r="AA51" i="1"/>
  <c r="AG51" i="1"/>
  <c r="AU51" i="1"/>
  <c r="BB51" i="1"/>
  <c r="Q52" i="1"/>
  <c r="AA52" i="1"/>
  <c r="AG52" i="1"/>
  <c r="AU52" i="1"/>
  <c r="BB52" i="1"/>
  <c r="Q53" i="1"/>
  <c r="AA53" i="1"/>
  <c r="AG53" i="1"/>
  <c r="AU53" i="1"/>
  <c r="BB53" i="1"/>
  <c r="Q54" i="1"/>
  <c r="AA54" i="1"/>
  <c r="AG54" i="1"/>
  <c r="AU54" i="1"/>
  <c r="BB54" i="1"/>
  <c r="Q55" i="1"/>
  <c r="W55" i="1"/>
  <c r="AA55" i="1"/>
  <c r="AG55" i="1"/>
  <c r="AU55" i="1"/>
  <c r="BB55" i="1"/>
  <c r="Q56" i="1"/>
  <c r="V56" i="1"/>
  <c r="AA56" i="1"/>
  <c r="AG56" i="1"/>
  <c r="AU56" i="1"/>
  <c r="BB56" i="1"/>
  <c r="Q57" i="1"/>
  <c r="W57" i="1"/>
  <c r="AA57" i="1"/>
  <c r="AG57" i="1"/>
  <c r="AT57" i="1"/>
  <c r="AU57" i="1"/>
  <c r="BA57" i="1"/>
  <c r="BB57" i="1"/>
  <c r="Q58" i="1"/>
  <c r="AA58" i="1"/>
  <c r="AG58" i="1"/>
  <c r="AU58" i="1"/>
  <c r="BB58" i="1"/>
  <c r="Q59" i="1"/>
  <c r="W59" i="1"/>
  <c r="AA59" i="1"/>
  <c r="AG59" i="1"/>
  <c r="AU59" i="1"/>
  <c r="BB59" i="1"/>
  <c r="Q60" i="1"/>
  <c r="W60" i="1"/>
  <c r="AA60" i="1"/>
  <c r="AG60" i="1"/>
  <c r="AT60" i="1"/>
  <c r="AU60" i="1" s="1"/>
  <c r="BA60" i="1"/>
  <c r="BB60" i="1" s="1"/>
  <c r="Q61" i="1"/>
  <c r="AA61" i="1"/>
  <c r="AG61" i="1"/>
  <c r="AU61" i="1"/>
  <c r="BB61" i="1"/>
  <c r="P62" i="1"/>
  <c r="Q62" i="1"/>
  <c r="AA62" i="1"/>
  <c r="AG62" i="1"/>
  <c r="AT62" i="1"/>
  <c r="AU62" i="1"/>
  <c r="BA62" i="1"/>
  <c r="BB62" i="1"/>
  <c r="Q63" i="1"/>
  <c r="T63" i="1"/>
  <c r="U63" i="1"/>
  <c r="V63" i="1"/>
  <c r="AA63" i="1"/>
  <c r="AG63" i="1"/>
  <c r="AT63" i="1"/>
  <c r="AU63" i="1"/>
  <c r="BA63" i="1"/>
  <c r="BB63" i="1"/>
  <c r="Q64" i="1"/>
  <c r="AA64" i="1"/>
  <c r="AG64" i="1"/>
  <c r="AT64" i="1"/>
  <c r="AU64" i="1" s="1"/>
  <c r="BA64" i="1"/>
  <c r="BB64" i="1" s="1"/>
  <c r="Q65" i="1"/>
  <c r="AA65" i="1"/>
  <c r="AG65" i="1"/>
  <c r="AT65" i="1"/>
  <c r="AU65" i="1"/>
  <c r="BA65" i="1"/>
  <c r="BB65" i="1"/>
  <c r="Q66" i="1"/>
  <c r="W66" i="1"/>
  <c r="AA66" i="1"/>
  <c r="AG66" i="1"/>
  <c r="AU66" i="1"/>
  <c r="BB66" i="1"/>
  <c r="Q67" i="1"/>
  <c r="AA67" i="1"/>
  <c r="AG67" i="1"/>
  <c r="AU67" i="1"/>
  <c r="BB67" i="1"/>
  <c r="Q68" i="1"/>
  <c r="AA68" i="1"/>
  <c r="AG68" i="1"/>
  <c r="AT68" i="1"/>
  <c r="AU68" i="1"/>
  <c r="BA68" i="1"/>
  <c r="BB68" i="1"/>
  <c r="Q69" i="1"/>
  <c r="W69" i="1"/>
  <c r="AA69" i="1"/>
  <c r="AG69" i="1"/>
  <c r="AU69" i="1"/>
  <c r="BB69" i="1"/>
  <c r="Q70" i="1"/>
  <c r="AA70" i="1"/>
  <c r="AG70" i="1"/>
  <c r="AU70" i="1"/>
  <c r="BB70" i="1"/>
  <c r="Q71" i="1"/>
  <c r="W71" i="1"/>
  <c r="AA71" i="1"/>
  <c r="AG71" i="1"/>
  <c r="AT71" i="1"/>
  <c r="AU71" i="1" s="1"/>
  <c r="BA71" i="1"/>
  <c r="BB71" i="1" s="1"/>
  <c r="Q72" i="1"/>
  <c r="AA72" i="1"/>
  <c r="AG72" i="1"/>
  <c r="AU72" i="1"/>
  <c r="BB72" i="1"/>
  <c r="J73" i="1"/>
  <c r="K73" i="1"/>
  <c r="Q73" i="1"/>
  <c r="AA73" i="1"/>
  <c r="AG73" i="1"/>
  <c r="AU73" i="1"/>
  <c r="BB73" i="1"/>
  <c r="P74" i="1"/>
  <c r="Q74" i="1"/>
  <c r="W74" i="1"/>
  <c r="AA74" i="1"/>
  <c r="AG74" i="1"/>
  <c r="AT74" i="1"/>
  <c r="AU74" i="1"/>
  <c r="BA74" i="1"/>
  <c r="BB74" i="1"/>
  <c r="P75" i="1"/>
  <c r="Q75" i="1"/>
  <c r="AA75" i="1"/>
  <c r="AG75" i="1"/>
  <c r="AU75" i="1"/>
  <c r="BB75" i="1"/>
  <c r="Q76" i="1"/>
  <c r="AA76" i="1"/>
  <c r="AG76" i="1"/>
  <c r="AU76" i="1"/>
  <c r="BA76" i="1"/>
  <c r="BB76" i="1"/>
  <c r="Q77" i="1"/>
  <c r="AA77" i="1"/>
  <c r="AG77" i="1"/>
  <c r="AU77" i="1"/>
  <c r="BB77" i="1"/>
  <c r="P78" i="1"/>
  <c r="Q78" i="1"/>
  <c r="AA78" i="1"/>
  <c r="AG78" i="1"/>
  <c r="AU78" i="1"/>
  <c r="BA78" i="1"/>
  <c r="BB78" i="1"/>
  <c r="J79" i="1"/>
  <c r="K79" i="1"/>
  <c r="Q79" i="1"/>
  <c r="AA79" i="1"/>
  <c r="AG79" i="1"/>
  <c r="AU79" i="1"/>
  <c r="BB79" i="1"/>
  <c r="Q80" i="1"/>
  <c r="AA80" i="1"/>
  <c r="AG80" i="1"/>
  <c r="AU80" i="1"/>
  <c r="BB80" i="1"/>
  <c r="Q81" i="1"/>
  <c r="AA81" i="1"/>
  <c r="AG81" i="1"/>
  <c r="AU81" i="1"/>
  <c r="BB81" i="1"/>
  <c r="Q82" i="1"/>
  <c r="W82" i="1"/>
  <c r="AA82" i="1"/>
  <c r="AG82" i="1"/>
  <c r="AT82" i="1"/>
  <c r="AU82" i="1" s="1"/>
  <c r="BA82" i="1"/>
  <c r="BB82" i="1" s="1"/>
  <c r="Q83" i="1"/>
  <c r="AA83" i="1"/>
  <c r="AG83" i="1"/>
  <c r="AU83" i="1"/>
  <c r="BA83" i="1"/>
  <c r="BB83" i="1" s="1"/>
  <c r="Q84" i="1"/>
  <c r="W84" i="1"/>
  <c r="AA84" i="1"/>
  <c r="AG84" i="1"/>
  <c r="AU84" i="1"/>
  <c r="BB84" i="1"/>
  <c r="Q85" i="1"/>
  <c r="W85" i="1"/>
  <c r="AA85" i="1"/>
  <c r="AG85" i="1"/>
  <c r="AU85" i="1"/>
  <c r="BB85" i="1"/>
  <c r="Q86" i="1"/>
  <c r="W86" i="1"/>
  <c r="AA86" i="1"/>
  <c r="AG86" i="1"/>
  <c r="AU86" i="1"/>
  <c r="BB86" i="1"/>
  <c r="Q87" i="1"/>
  <c r="W87" i="1"/>
  <c r="AA87" i="1"/>
  <c r="AG87" i="1"/>
  <c r="AT87" i="1"/>
  <c r="AU87" i="1" s="1"/>
  <c r="BB87" i="1"/>
  <c r="Q88" i="1"/>
  <c r="W88" i="1"/>
  <c r="AA88" i="1"/>
  <c r="AG88" i="1"/>
  <c r="AU88" i="1"/>
  <c r="BB88" i="1"/>
  <c r="Q89" i="1"/>
  <c r="W89" i="1"/>
  <c r="AA89" i="1"/>
  <c r="AG89" i="1"/>
  <c r="AU89" i="1"/>
  <c r="BB89" i="1"/>
  <c r="Q90" i="1"/>
  <c r="W90" i="1"/>
  <c r="AA90" i="1"/>
  <c r="AG90" i="1"/>
  <c r="AU90" i="1"/>
  <c r="BA90" i="1"/>
  <c r="BB90" i="1" s="1"/>
  <c r="Q91" i="1"/>
  <c r="AA91" i="1"/>
  <c r="AG91" i="1"/>
  <c r="AT91" i="1"/>
  <c r="AU91" i="1"/>
  <c r="BA91" i="1"/>
  <c r="BB91" i="1"/>
  <c r="Q92" i="1"/>
  <c r="AA92" i="1"/>
  <c r="AG92" i="1"/>
  <c r="AU92" i="1"/>
  <c r="BB92" i="1"/>
  <c r="Q93" i="1"/>
  <c r="W93" i="1"/>
  <c r="AA93" i="1"/>
  <c r="AG93" i="1"/>
  <c r="AU93" i="1"/>
  <c r="BB93" i="1"/>
  <c r="Q94" i="1"/>
  <c r="AA94" i="1"/>
  <c r="AG94" i="1"/>
  <c r="AU94" i="1"/>
  <c r="BB94" i="1"/>
  <c r="P95" i="1"/>
  <c r="Q95" i="1"/>
  <c r="W95" i="1"/>
  <c r="AA95" i="1"/>
  <c r="AG95" i="1"/>
  <c r="AU95" i="1"/>
  <c r="BB95" i="1"/>
  <c r="Q96" i="1"/>
  <c r="W96" i="1"/>
  <c r="AA96" i="1"/>
  <c r="AG96" i="1"/>
  <c r="AU96" i="1"/>
  <c r="BB96" i="1"/>
  <c r="Q97" i="1"/>
  <c r="AA97" i="1"/>
  <c r="AG97" i="1"/>
  <c r="AU97" i="1"/>
  <c r="BB97" i="1"/>
  <c r="Q98" i="1"/>
  <c r="AA98" i="1"/>
  <c r="AG98" i="1"/>
  <c r="AT98" i="1"/>
  <c r="AU98" i="1" s="1"/>
  <c r="BA98" i="1"/>
  <c r="BB98" i="1" s="1"/>
  <c r="Q99" i="1"/>
  <c r="W99" i="1"/>
  <c r="AA99" i="1"/>
  <c r="AG99" i="1"/>
  <c r="AU99" i="1"/>
  <c r="BB99" i="1"/>
  <c r="Q100" i="1"/>
  <c r="AA100" i="1"/>
  <c r="AG100" i="1"/>
  <c r="AU100" i="1"/>
  <c r="BB100" i="1"/>
  <c r="Q101" i="1"/>
  <c r="W101" i="1"/>
  <c r="AA101" i="1"/>
  <c r="AG101" i="1"/>
  <c r="AT101" i="1"/>
  <c r="AU101" i="1"/>
  <c r="BB101" i="1"/>
  <c r="Q102" i="1"/>
  <c r="W102" i="1"/>
  <c r="AA102" i="1"/>
  <c r="AG102" i="1"/>
  <c r="AU102" i="1"/>
  <c r="BB102" i="1"/>
  <c r="Q103" i="1"/>
  <c r="W103" i="1"/>
  <c r="AA103" i="1"/>
  <c r="AG103" i="1"/>
  <c r="AT103" i="1"/>
  <c r="AU103" i="1" s="1"/>
  <c r="BA103" i="1"/>
  <c r="BB103" i="1" s="1"/>
  <c r="Q104" i="1"/>
  <c r="W104" i="1"/>
  <c r="AA104" i="1"/>
  <c r="AG104" i="1"/>
  <c r="AT104" i="1"/>
  <c r="AU104" i="1" s="1"/>
  <c r="BB104" i="1"/>
  <c r="Q105" i="1"/>
  <c r="W105" i="1"/>
  <c r="AA105" i="1"/>
  <c r="AG105" i="1"/>
  <c r="AT105" i="1"/>
  <c r="AU105" i="1"/>
  <c r="BA105" i="1"/>
  <c r="BB105" i="1"/>
  <c r="Q106" i="1"/>
  <c r="AA106" i="1"/>
  <c r="AG106" i="1"/>
  <c r="AU106" i="1"/>
  <c r="BB106" i="1"/>
  <c r="Q107" i="1"/>
  <c r="W107" i="1"/>
  <c r="AA107" i="1"/>
  <c r="AG107" i="1"/>
  <c r="AU107" i="1"/>
  <c r="BB107" i="1"/>
  <c r="Q108" i="1"/>
  <c r="W108" i="1"/>
  <c r="AA108" i="1"/>
  <c r="AG108" i="1"/>
  <c r="AT108" i="1"/>
  <c r="AU108" i="1" s="1"/>
  <c r="BA108" i="1"/>
  <c r="BB108" i="1" s="1"/>
  <c r="Q109" i="1"/>
  <c r="W109" i="1"/>
  <c r="AA109" i="1"/>
  <c r="AG109" i="1"/>
  <c r="AU109" i="1"/>
  <c r="BB109" i="1"/>
  <c r="Q110" i="1"/>
  <c r="W110" i="1"/>
  <c r="AA110" i="1"/>
  <c r="AG110" i="1"/>
  <c r="AU110" i="1"/>
  <c r="BB110" i="1"/>
  <c r="Q111" i="1"/>
  <c r="W111" i="1"/>
  <c r="AA111" i="1"/>
  <c r="AG111" i="1"/>
  <c r="AT111" i="1"/>
  <c r="AU111" i="1" s="1"/>
  <c r="BB111" i="1"/>
  <c r="Q112" i="1"/>
  <c r="W112" i="1"/>
  <c r="AA112" i="1"/>
  <c r="AG112" i="1"/>
  <c r="AU112" i="1"/>
  <c r="BB112" i="1"/>
  <c r="Q113" i="1"/>
  <c r="AA113" i="1"/>
  <c r="AG113" i="1"/>
  <c r="AT113" i="1"/>
  <c r="AU113" i="1" s="1"/>
  <c r="BB113" i="1"/>
  <c r="Q114" i="1"/>
  <c r="W114" i="1"/>
  <c r="AA114" i="1"/>
  <c r="AG114" i="1"/>
  <c r="AU114" i="1"/>
  <c r="BB114" i="1"/>
  <c r="Q115" i="1"/>
  <c r="W115" i="1"/>
  <c r="AA115" i="1"/>
  <c r="AG115" i="1"/>
  <c r="AU115" i="1"/>
  <c r="BB115" i="1"/>
  <c r="Q116" i="1"/>
  <c r="W116" i="1"/>
  <c r="AA116" i="1"/>
  <c r="AG116" i="1"/>
  <c r="AT116" i="1"/>
  <c r="AU116" i="1"/>
  <c r="BA116" i="1"/>
  <c r="BB116" i="1"/>
  <c r="Q117" i="1"/>
  <c r="AA117" i="1"/>
  <c r="AG117" i="1"/>
  <c r="AU117" i="1"/>
  <c r="BA117" i="1"/>
  <c r="BB117" i="1"/>
  <c r="Q118" i="1"/>
  <c r="AA118" i="1"/>
  <c r="AG118" i="1"/>
  <c r="AU118" i="1"/>
  <c r="BB118" i="1"/>
  <c r="Q119" i="1"/>
  <c r="AA119" i="1"/>
  <c r="AG119" i="1"/>
  <c r="AU119" i="1"/>
  <c r="BB119" i="1"/>
  <c r="Q120" i="1"/>
  <c r="AA120" i="1"/>
  <c r="AG120" i="1"/>
  <c r="AU120" i="1"/>
  <c r="BA120" i="1"/>
  <c r="BB120" i="1"/>
  <c r="Q121" i="1"/>
  <c r="W121" i="1"/>
  <c r="AA121" i="1"/>
  <c r="AG121" i="1"/>
  <c r="AT121" i="1"/>
  <c r="AU121" i="1"/>
  <c r="BA121" i="1"/>
  <c r="BB121" i="1"/>
  <c r="Q122" i="1"/>
  <c r="AA122" i="1"/>
  <c r="AG122" i="1"/>
  <c r="AU122" i="1"/>
  <c r="BB122" i="1"/>
  <c r="Q123" i="1"/>
  <c r="AA123" i="1"/>
  <c r="AG123" i="1"/>
  <c r="AT123" i="1"/>
  <c r="AU123" i="1"/>
  <c r="BA123" i="1"/>
  <c r="BB123" i="1"/>
  <c r="Q124" i="1"/>
  <c r="AA124" i="1"/>
  <c r="AG124" i="1"/>
  <c r="AU124" i="1"/>
  <c r="BA124" i="1"/>
  <c r="BB124" i="1"/>
  <c r="Q125" i="1"/>
  <c r="AA125" i="1"/>
  <c r="AG125" i="1"/>
  <c r="AU125" i="1"/>
  <c r="BB125" i="1"/>
  <c r="Q126" i="1"/>
  <c r="W126" i="1"/>
  <c r="AA126" i="1"/>
  <c r="AG126" i="1"/>
  <c r="AU126" i="1"/>
  <c r="BA126" i="1"/>
  <c r="BB126" i="1"/>
  <c r="Q127" i="1"/>
  <c r="AA127" i="1"/>
  <c r="AG127" i="1"/>
  <c r="AU127" i="1"/>
  <c r="BB127" i="1"/>
  <c r="Q128" i="1"/>
  <c r="AA128" i="1"/>
  <c r="AG128" i="1"/>
  <c r="AT128" i="1"/>
  <c r="AU128" i="1"/>
  <c r="BB128" i="1"/>
  <c r="Q129" i="1"/>
  <c r="AA129" i="1"/>
  <c r="AG129" i="1"/>
  <c r="AT129" i="1"/>
  <c r="AU129" i="1"/>
  <c r="BB129" i="1"/>
  <c r="Q130" i="1"/>
  <c r="AU130" i="1"/>
  <c r="BB130" i="1"/>
  <c r="Q131" i="1"/>
  <c r="AA131" i="1"/>
  <c r="AG131" i="1"/>
  <c r="AU131" i="1"/>
  <c r="BB131" i="1"/>
  <c r="Q132" i="1"/>
  <c r="W132" i="1"/>
  <c r="AA132" i="1"/>
  <c r="AG132" i="1"/>
  <c r="AU132" i="1"/>
  <c r="BA132" i="1"/>
  <c r="BB132" i="1"/>
  <c r="Q133" i="1"/>
  <c r="AA133" i="1"/>
  <c r="AG133" i="1"/>
  <c r="AU133" i="1"/>
  <c r="BB133" i="1"/>
  <c r="Q134" i="1"/>
  <c r="AA134" i="1"/>
  <c r="AG134" i="1"/>
  <c r="AU134" i="1"/>
  <c r="BB134" i="1"/>
  <c r="Q135" i="1"/>
  <c r="AA135" i="1"/>
  <c r="AG135" i="1"/>
  <c r="AU135" i="1"/>
  <c r="BB135" i="1"/>
  <c r="Q136" i="1"/>
  <c r="AA136" i="1"/>
  <c r="AG136" i="1"/>
  <c r="AT136" i="1"/>
  <c r="AU136" i="1"/>
  <c r="BA136" i="1"/>
  <c r="BB136" i="1"/>
  <c r="Q137" i="1"/>
  <c r="AA137" i="1"/>
  <c r="AG137" i="1"/>
  <c r="AU137" i="1"/>
  <c r="BB137" i="1"/>
  <c r="Q138" i="1"/>
  <c r="AA138" i="1"/>
  <c r="AG138" i="1"/>
  <c r="AU138" i="1"/>
  <c r="BB138" i="1"/>
  <c r="Q139" i="1"/>
  <c r="AA139" i="1"/>
  <c r="AG139" i="1"/>
  <c r="AU139" i="1"/>
  <c r="BB139" i="1"/>
  <c r="Q140" i="1"/>
  <c r="W140" i="1"/>
  <c r="AA140" i="1"/>
  <c r="AG140" i="1"/>
  <c r="AU140" i="1"/>
  <c r="BB140" i="1"/>
  <c r="Q141" i="1"/>
  <c r="AA141" i="1"/>
  <c r="AG141" i="1"/>
  <c r="AT141" i="1"/>
  <c r="AU141" i="1"/>
  <c r="BA141" i="1"/>
  <c r="BB141" i="1"/>
  <c r="Q142" i="1"/>
  <c r="AA142" i="1"/>
  <c r="AG142" i="1"/>
  <c r="AU142" i="1"/>
  <c r="BB142" i="1"/>
  <c r="P143" i="1"/>
  <c r="Q143" i="1"/>
  <c r="AA143" i="1"/>
  <c r="AG143" i="1"/>
  <c r="AT143" i="1"/>
  <c r="AU143" i="1" s="1"/>
  <c r="BA143" i="1"/>
  <c r="BB143" i="1" s="1"/>
  <c r="Q144" i="1"/>
  <c r="W144" i="1"/>
  <c r="AA144" i="1"/>
  <c r="AG144" i="1"/>
  <c r="AT144" i="1"/>
  <c r="AU144" i="1" s="1"/>
  <c r="BB144" i="1"/>
  <c r="Q145" i="1"/>
  <c r="W145" i="1"/>
  <c r="AA145" i="1"/>
  <c r="AG145" i="1"/>
  <c r="AU145" i="1"/>
  <c r="BB145" i="1"/>
  <c r="Q146" i="1"/>
  <c r="AA146" i="1"/>
  <c r="AG146" i="1"/>
  <c r="AU146" i="1"/>
  <c r="BB146" i="1"/>
  <c r="Q147" i="1"/>
  <c r="AA147" i="1"/>
  <c r="AG147" i="1"/>
  <c r="AT147" i="1"/>
  <c r="AU147" i="1"/>
  <c r="BA147" i="1"/>
  <c r="BB147" i="1"/>
  <c r="Q148" i="1"/>
  <c r="AA148" i="1"/>
  <c r="AG148" i="1"/>
  <c r="AU148" i="1"/>
  <c r="BA148" i="1"/>
  <c r="BB148" i="1"/>
  <c r="Q149" i="1"/>
  <c r="AA149" i="1"/>
  <c r="AG149" i="1"/>
  <c r="AU149" i="1"/>
  <c r="BB149" i="1"/>
  <c r="Q150" i="1"/>
  <c r="AA150" i="1"/>
  <c r="AG150" i="1"/>
  <c r="AR150" i="1"/>
  <c r="AT150" i="1"/>
  <c r="AU150" i="1" s="1"/>
  <c r="AY150" i="1"/>
  <c r="AY9" i="1" s="1"/>
  <c r="BA150" i="1"/>
  <c r="BB150" i="1"/>
  <c r="Q151" i="1"/>
  <c r="W151" i="1"/>
  <c r="AA151" i="1"/>
  <c r="AG151" i="1"/>
  <c r="AT151" i="1"/>
  <c r="AU151" i="1"/>
  <c r="BB151" i="1"/>
  <c r="P152" i="1"/>
  <c r="Q152" i="1"/>
  <c r="AA152" i="1"/>
  <c r="AG152" i="1"/>
  <c r="AT152" i="1"/>
  <c r="AU152" i="1" s="1"/>
  <c r="BA152" i="1"/>
  <c r="BB152" i="1" s="1"/>
  <c r="Q153" i="1"/>
  <c r="AA153" i="1"/>
  <c r="AG153" i="1"/>
  <c r="AT153" i="1"/>
  <c r="AU153" i="1"/>
  <c r="BB153" i="1"/>
  <c r="Q154" i="1"/>
  <c r="W154" i="1"/>
  <c r="AA154" i="1"/>
  <c r="AG154" i="1"/>
  <c r="AU154" i="1"/>
  <c r="BB154" i="1"/>
  <c r="Q155" i="1"/>
  <c r="AA155" i="1"/>
  <c r="AG155" i="1"/>
  <c r="AT155" i="1"/>
  <c r="AU155" i="1"/>
  <c r="BA155" i="1"/>
  <c r="BB155" i="1"/>
  <c r="Q156" i="1"/>
  <c r="W156" i="1"/>
  <c r="AA156" i="1"/>
  <c r="AG156" i="1"/>
  <c r="AU156" i="1"/>
  <c r="BB156" i="1"/>
  <c r="Q157" i="1"/>
  <c r="W157" i="1"/>
  <c r="AA157" i="1"/>
  <c r="AG157" i="1"/>
  <c r="AT157" i="1"/>
  <c r="AU157" i="1"/>
  <c r="BA157" i="1"/>
  <c r="BB157" i="1"/>
  <c r="Q158" i="1"/>
  <c r="W158" i="1"/>
  <c r="AA158" i="1"/>
  <c r="AG158" i="1"/>
  <c r="AU158" i="1"/>
  <c r="BB158" i="1"/>
  <c r="W159" i="1"/>
  <c r="AA159" i="1"/>
  <c r="AG159" i="1"/>
  <c r="AU159" i="1"/>
  <c r="BB159" i="1"/>
  <c r="G160" i="1"/>
  <c r="H160" i="1"/>
  <c r="Q160" i="1"/>
  <c r="AA160" i="1"/>
  <c r="AG160" i="1"/>
  <c r="AT160" i="1"/>
  <c r="AU160" i="1"/>
  <c r="BB160" i="1"/>
  <c r="Q161" i="1"/>
  <c r="AA161" i="1"/>
  <c r="AG161" i="1"/>
  <c r="AU161" i="1"/>
  <c r="BB161" i="1"/>
  <c r="Q162" i="1"/>
  <c r="AA162" i="1"/>
  <c r="AG162" i="1"/>
  <c r="AU162" i="1"/>
  <c r="BB162" i="1"/>
  <c r="Q163" i="1"/>
  <c r="AA163" i="1"/>
  <c r="AG163" i="1"/>
  <c r="AT163" i="1"/>
  <c r="AU163" i="1"/>
  <c r="BB163" i="1"/>
  <c r="Q164" i="1"/>
  <c r="AA164" i="1"/>
  <c r="AG164" i="1"/>
  <c r="AU164" i="1"/>
  <c r="BB164" i="1"/>
  <c r="Q165" i="1"/>
  <c r="AA165" i="1"/>
  <c r="AG165" i="1"/>
  <c r="AT165" i="1"/>
  <c r="AU165" i="1" s="1"/>
  <c r="BA165" i="1"/>
  <c r="BB165" i="1" s="1"/>
  <c r="P166" i="1"/>
  <c r="Q166" i="1"/>
  <c r="W166" i="1"/>
  <c r="AA166" i="1"/>
  <c r="AG166" i="1"/>
  <c r="AU166" i="1"/>
  <c r="BB166" i="1"/>
  <c r="Q167" i="1"/>
  <c r="AA167" i="1"/>
  <c r="AG167" i="1"/>
  <c r="AU167" i="1"/>
  <c r="BB167" i="1"/>
  <c r="Q168" i="1"/>
  <c r="W168" i="1"/>
  <c r="AA168" i="1"/>
  <c r="AG168" i="1"/>
  <c r="AU168" i="1"/>
  <c r="BB168" i="1"/>
  <c r="Q169" i="1"/>
  <c r="AA169" i="1"/>
  <c r="AG169" i="1"/>
  <c r="AT169" i="1"/>
  <c r="AU169" i="1"/>
  <c r="BB169" i="1"/>
  <c r="Q170" i="1"/>
  <c r="W170" i="1"/>
  <c r="AA170" i="1"/>
  <c r="AG170" i="1"/>
  <c r="AU170" i="1"/>
  <c r="BB170" i="1"/>
  <c r="P171" i="1"/>
  <c r="Q171" i="1"/>
  <c r="AA171" i="1"/>
  <c r="AG171" i="1"/>
  <c r="AT171" i="1"/>
  <c r="AU171" i="1" s="1"/>
  <c r="BA171" i="1"/>
  <c r="BB171" i="1" s="1"/>
  <c r="Q172" i="1"/>
  <c r="W172" i="1"/>
  <c r="AA172" i="1"/>
  <c r="AG172" i="1"/>
  <c r="AT172" i="1"/>
  <c r="AU172" i="1" s="1"/>
  <c r="BB172" i="1"/>
  <c r="Q173" i="1"/>
  <c r="W173" i="1"/>
  <c r="AA173" i="1"/>
  <c r="AG173" i="1"/>
  <c r="AU173" i="1"/>
  <c r="BB173" i="1"/>
  <c r="Q174" i="1"/>
  <c r="W174" i="1"/>
  <c r="AA174" i="1"/>
  <c r="AG174" i="1"/>
  <c r="AU174" i="1"/>
  <c r="BB174" i="1"/>
  <c r="Q175" i="1"/>
  <c r="AA175" i="1"/>
  <c r="AG175" i="1"/>
  <c r="AT175" i="1"/>
  <c r="AU175" i="1" s="1"/>
  <c r="P176" i="1"/>
  <c r="Q176" i="1"/>
  <c r="AA176" i="1"/>
  <c r="AG176" i="1"/>
  <c r="AU176" i="1"/>
  <c r="BB176" i="1"/>
  <c r="Q177" i="1"/>
  <c r="W177" i="1"/>
  <c r="AA177" i="1"/>
  <c r="AG177" i="1"/>
  <c r="AU177" i="1"/>
  <c r="BB177" i="1"/>
  <c r="Q178" i="1"/>
  <c r="AA178" i="1"/>
  <c r="AG178" i="1"/>
  <c r="AT178" i="1"/>
  <c r="AU178" i="1"/>
  <c r="BB178" i="1"/>
  <c r="Q179" i="1"/>
  <c r="AA179" i="1"/>
  <c r="AG179" i="1"/>
  <c r="AU179" i="1"/>
  <c r="BB179" i="1"/>
  <c r="Q180" i="1"/>
  <c r="AA180" i="1"/>
  <c r="AG180" i="1"/>
  <c r="AU180" i="1"/>
  <c r="BB180" i="1"/>
  <c r="Q181" i="1"/>
  <c r="W181" i="1"/>
  <c r="AA181" i="1"/>
  <c r="AG181" i="1"/>
  <c r="AT181" i="1"/>
  <c r="AU181" i="1" s="1"/>
  <c r="BA181" i="1"/>
  <c r="BB181" i="1" s="1"/>
  <c r="Q182" i="1"/>
  <c r="AA182" i="1"/>
  <c r="AG182" i="1"/>
  <c r="AU182" i="1"/>
  <c r="BB182" i="1"/>
  <c r="Q183" i="1"/>
  <c r="AA183" i="1"/>
  <c r="AG183" i="1"/>
  <c r="AU183" i="1"/>
  <c r="BB183" i="1"/>
  <c r="AG9" i="1" l="1"/>
  <c r="AV10" i="1"/>
  <c r="AT10" i="1"/>
  <c r="AR10" i="1"/>
  <c r="AP10" i="1"/>
  <c r="AC10" i="1"/>
  <c r="AA10" i="1"/>
  <c r="Y10" i="1"/>
  <c r="W10" i="1"/>
  <c r="U10" i="1"/>
  <c r="P10" i="1"/>
  <c r="M10" i="1"/>
  <c r="K10" i="1"/>
  <c r="I10" i="1"/>
  <c r="G10" i="1"/>
  <c r="AV9" i="1"/>
  <c r="AT9" i="1"/>
  <c r="AF9" i="1"/>
  <c r="AD9" i="1"/>
  <c r="AB9" i="1"/>
  <c r="X9" i="1"/>
  <c r="V9" i="1"/>
  <c r="T9" i="1"/>
  <c r="N9" i="1"/>
  <c r="L9" i="1"/>
  <c r="J9" i="1"/>
  <c r="H9" i="1"/>
  <c r="BB43" i="1"/>
  <c r="AU40" i="1"/>
  <c r="AU9" i="1" s="1"/>
  <c r="BB19" i="1"/>
  <c r="BB9" i="1" s="1"/>
  <c r="BA10" i="1"/>
  <c r="AY10" i="1"/>
  <c r="AW10" i="1"/>
  <c r="AS10" i="1"/>
  <c r="AQ10" i="1"/>
  <c r="AO10" i="1"/>
  <c r="BB10" i="1" l="1"/>
  <c r="AU10" i="1"/>
</calcChain>
</file>

<file path=xl/sharedStrings.xml><?xml version="1.0" encoding="utf-8"?>
<sst xmlns="http://schemas.openxmlformats.org/spreadsheetml/2006/main" count="986" uniqueCount="536">
  <si>
    <t/>
  </si>
  <si>
    <t xml:space="preserve">            EMPLOYEE EXPENSES</t>
  </si>
  <si>
    <t xml:space="preserve"> CHAPTER  13  STANDING TRUSTEE</t>
  </si>
  <si>
    <t>#CASES</t>
  </si>
  <si>
    <t>$ FEES</t>
  </si>
  <si>
    <t>% EXP.</t>
  </si>
  <si>
    <t>% FEE</t>
  </si>
  <si>
    <t>&gt; 60 MOS.</t>
  </si>
  <si>
    <t>ACCTG</t>
  </si>
  <si>
    <t>ACCUM.</t>
  </si>
  <si>
    <t>ACTIVE</t>
  </si>
  <si>
    <t>ACTUAL</t>
  </si>
  <si>
    <t>ADJUST.</t>
  </si>
  <si>
    <t>Aikman</t>
  </si>
  <si>
    <t>AK</t>
  </si>
  <si>
    <t>Akron</t>
  </si>
  <si>
    <t>Alaska</t>
  </si>
  <si>
    <t>Albany</t>
  </si>
  <si>
    <t>Albuquerque</t>
  </si>
  <si>
    <t>Alexandria</t>
  </si>
  <si>
    <t>ALLOC.</t>
  </si>
  <si>
    <t>ALLOC.\</t>
  </si>
  <si>
    <t>Amherst</t>
  </si>
  <si>
    <t>Anchorage</t>
  </si>
  <si>
    <t>APPLIED</t>
  </si>
  <si>
    <t>APPT.</t>
  </si>
  <si>
    <t>AR</t>
  </si>
  <si>
    <t>Arizona</t>
  </si>
  <si>
    <t>Arkansas</t>
  </si>
  <si>
    <t>Askenase-7mo</t>
  </si>
  <si>
    <t>Atlanta</t>
  </si>
  <si>
    <t>ATTY'S</t>
  </si>
  <si>
    <t>Augusta</t>
  </si>
  <si>
    <t>Austin</t>
  </si>
  <si>
    <t>AVG</t>
  </si>
  <si>
    <t>AZ</t>
  </si>
  <si>
    <t>BALANCE</t>
  </si>
  <si>
    <t>Baltimore</t>
  </si>
  <si>
    <t>Barkley</t>
  </si>
  <si>
    <t>Barkley, Jr.</t>
  </si>
  <si>
    <t>Barnesville</t>
  </si>
  <si>
    <t>Barth/McElreath</t>
  </si>
  <si>
    <t>Baton Rouge</t>
  </si>
  <si>
    <t>Baxter, Jr.</t>
  </si>
  <si>
    <t>Beaulieu</t>
  </si>
  <si>
    <t>BEGINN</t>
  </si>
  <si>
    <t>Bekofske</t>
  </si>
  <si>
    <t>Bell</t>
  </si>
  <si>
    <t>Bellville</t>
  </si>
  <si>
    <t>BENEFITS</t>
  </si>
  <si>
    <t>Benton</t>
  </si>
  <si>
    <t>Black, Jr.</t>
  </si>
  <si>
    <t>Boise</t>
  </si>
  <si>
    <t>Bolenbaugh</t>
  </si>
  <si>
    <t>Bone</t>
  </si>
  <si>
    <t>Bonney</t>
  </si>
  <si>
    <t>Boston</t>
  </si>
  <si>
    <t>Boudloche</t>
  </si>
  <si>
    <t>Bowers</t>
  </si>
  <si>
    <t>Bowie</t>
  </si>
  <si>
    <t>Boyajian</t>
  </si>
  <si>
    <t>Bracher</t>
  </si>
  <si>
    <t>Bradenton</t>
  </si>
  <si>
    <t>Bristol</t>
  </si>
  <si>
    <t>Bronitsky</t>
  </si>
  <si>
    <t>Brothers</t>
  </si>
  <si>
    <t>Brown</t>
  </si>
  <si>
    <t>Brunner</t>
  </si>
  <si>
    <t>Brunswick</t>
  </si>
  <si>
    <t>Buffalo</t>
  </si>
  <si>
    <t>Burchard, Jr.</t>
  </si>
  <si>
    <t>Burks</t>
  </si>
  <si>
    <t>Butler, III</t>
  </si>
  <si>
    <t>CA</t>
  </si>
  <si>
    <t>California</t>
  </si>
  <si>
    <t>Canton</t>
  </si>
  <si>
    <t>Carrollton</t>
  </si>
  <si>
    <t>CASES</t>
  </si>
  <si>
    <t>CASH TO</t>
  </si>
  <si>
    <t>Celli</t>
  </si>
  <si>
    <t>Central</t>
  </si>
  <si>
    <t>Chael</t>
  </si>
  <si>
    <t>Charleston</t>
  </si>
  <si>
    <t>Charlottesville</t>
  </si>
  <si>
    <t>Charnock, Jr.</t>
  </si>
  <si>
    <t>Chattanooga</t>
  </si>
  <si>
    <t>Chatterton</t>
  </si>
  <si>
    <t>Cheyenne</t>
  </si>
  <si>
    <t>Chicago</t>
  </si>
  <si>
    <t>CHILD PMTS</t>
  </si>
  <si>
    <t>Chrystler</t>
  </si>
  <si>
    <t>Cincinnati</t>
  </si>
  <si>
    <t>CITY</t>
  </si>
  <si>
    <t>Clark</t>
  </si>
  <si>
    <t>Cleveland</t>
  </si>
  <si>
    <t>CLOSED</t>
  </si>
  <si>
    <t>CO</t>
  </si>
  <si>
    <t>Coeur D'Alene</t>
  </si>
  <si>
    <t>Cohen</t>
  </si>
  <si>
    <t>Colorado</t>
  </si>
  <si>
    <t>Columbia</t>
  </si>
  <si>
    <t>Columbus</t>
  </si>
  <si>
    <t>COMP'N</t>
  </si>
  <si>
    <t>Compton</t>
  </si>
  <si>
    <t>COMPUTER</t>
  </si>
  <si>
    <t>CON-</t>
  </si>
  <si>
    <t>Connecticut</t>
  </si>
  <si>
    <t>CONSTR.</t>
  </si>
  <si>
    <t>CONVERT.</t>
  </si>
  <si>
    <t>Coop</t>
  </si>
  <si>
    <t>Corpus Christi</t>
  </si>
  <si>
    <t>Cosby</t>
  </si>
  <si>
    <t>CRED'R</t>
  </si>
  <si>
    <t>Crown Point</t>
  </si>
  <si>
    <t>CT</t>
  </si>
  <si>
    <t>Curry</t>
  </si>
  <si>
    <t>Dallas</t>
  </si>
  <si>
    <t>Davidson</t>
  </si>
  <si>
    <t>Davis</t>
  </si>
  <si>
    <t>DC</t>
  </si>
  <si>
    <t>DE</t>
  </si>
  <si>
    <t>DEBTOR</t>
  </si>
  <si>
    <t>DEBTORS</t>
  </si>
  <si>
    <t>Decker</t>
  </si>
  <si>
    <t>DEFICIT</t>
  </si>
  <si>
    <t>DeHart, III</t>
  </si>
  <si>
    <t>Delaware</t>
  </si>
  <si>
    <t>Denver</t>
  </si>
  <si>
    <t>Derham-Burk(3mos)</t>
  </si>
  <si>
    <t>DeRosa</t>
  </si>
  <si>
    <t>Des Moines</t>
  </si>
  <si>
    <t>DiSalle</t>
  </si>
  <si>
    <t>DISBURS</t>
  </si>
  <si>
    <t>DISBURS.</t>
  </si>
  <si>
    <t>DISBURSE-</t>
  </si>
  <si>
    <t>DISMISS.</t>
  </si>
  <si>
    <t>DISTRICT</t>
  </si>
  <si>
    <t>District of Columbia</t>
  </si>
  <si>
    <t>Dowell</t>
  </si>
  <si>
    <t xml:space="preserve">Drewes </t>
  </si>
  <si>
    <t>Drummond</t>
  </si>
  <si>
    <t>Dunbar</t>
  </si>
  <si>
    <t>Dunivent</t>
  </si>
  <si>
    <t>Eastern</t>
  </si>
  <si>
    <t>Eastern and Western</t>
  </si>
  <si>
    <t>Eck</t>
  </si>
  <si>
    <t>El Paso</t>
  </si>
  <si>
    <t>Emerson, Jr.</t>
  </si>
  <si>
    <t>END FY95</t>
  </si>
  <si>
    <t>END FY96</t>
  </si>
  <si>
    <t>ENDING</t>
  </si>
  <si>
    <t>Englewood</t>
  </si>
  <si>
    <t>Enmark</t>
  </si>
  <si>
    <t>EQUIP/</t>
  </si>
  <si>
    <t>Eugene</t>
  </si>
  <si>
    <t>Evansville</t>
  </si>
  <si>
    <t>EXCESS</t>
  </si>
  <si>
    <t>EXP FUND</t>
  </si>
  <si>
    <t xml:space="preserve">EXP. FUND </t>
  </si>
  <si>
    <t>EXPENSES</t>
  </si>
  <si>
    <t>Fargo</t>
  </si>
  <si>
    <t>Farrell</t>
  </si>
  <si>
    <t>Fessenden</t>
  </si>
  <si>
    <t>FILED</t>
  </si>
  <si>
    <t>Fink</t>
  </si>
  <si>
    <t>Fitzgerald</t>
  </si>
  <si>
    <t>FL</t>
  </si>
  <si>
    <t>Flint</t>
  </si>
  <si>
    <t>Florida</t>
  </si>
  <si>
    <t>Fort Lauderdale</t>
  </si>
  <si>
    <t>Fort Wayne</t>
  </si>
  <si>
    <t>Fort Worth</t>
  </si>
  <si>
    <t>Fresno</t>
  </si>
  <si>
    <t>Fulton</t>
  </si>
  <si>
    <t>FURN/ADP</t>
  </si>
  <si>
    <t>FY  1996  AUDITED ANNUAL REPORTS</t>
  </si>
  <si>
    <t>GA</t>
  </si>
  <si>
    <t>Gaertner</t>
  </si>
  <si>
    <t>Gallaspy</t>
  </si>
  <si>
    <t>Gallo</t>
  </si>
  <si>
    <t>Garden City</t>
  </si>
  <si>
    <t>Geekie</t>
  </si>
  <si>
    <t>Gelberg</t>
  </si>
  <si>
    <t>Georgia</t>
  </si>
  <si>
    <t>Germeraad</t>
  </si>
  <si>
    <t>Grand Rapids</t>
  </si>
  <si>
    <t>Great Falls</t>
  </si>
  <si>
    <t>Griffin</t>
  </si>
  <si>
    <t>Gross</t>
  </si>
  <si>
    <t>GROSS</t>
  </si>
  <si>
    <t>Gulfport</t>
  </si>
  <si>
    <t>Guy</t>
  </si>
  <si>
    <t>Hallandale</t>
  </si>
  <si>
    <t>Harrisburg</t>
  </si>
  <si>
    <t>Hart</t>
  </si>
  <si>
    <t>Hartford</t>
  </si>
  <si>
    <t>Hattiesburg</t>
  </si>
  <si>
    <t>Hawaii</t>
  </si>
  <si>
    <t>Heitkamp</t>
  </si>
  <si>
    <t>Hendren, Jr.</t>
  </si>
  <si>
    <t>Herkert</t>
  </si>
  <si>
    <t>HI</t>
  </si>
  <si>
    <t>Hicksville</t>
  </si>
  <si>
    <t>Hildebrand, III</t>
  </si>
  <si>
    <t>Holub</t>
  </si>
  <si>
    <t>Honolulu</t>
  </si>
  <si>
    <t>Hope</t>
  </si>
  <si>
    <t>Houston</t>
  </si>
  <si>
    <t>Howe</t>
  </si>
  <si>
    <t>Hu</t>
  </si>
  <si>
    <t>Huntington</t>
  </si>
  <si>
    <t>Hyman</t>
  </si>
  <si>
    <t>IA</t>
  </si>
  <si>
    <t>ID</t>
  </si>
  <si>
    <t>Idaho</t>
  </si>
  <si>
    <t>IL</t>
  </si>
  <si>
    <t>Illinois</t>
  </si>
  <si>
    <t>IN</t>
  </si>
  <si>
    <t>IN EXCESS</t>
  </si>
  <si>
    <t>Indiana</t>
  </si>
  <si>
    <t>Indianapolis</t>
  </si>
  <si>
    <t>INTEREST</t>
  </si>
  <si>
    <t>Iowa</t>
  </si>
  <si>
    <t>Itule</t>
  </si>
  <si>
    <t>Jackson</t>
  </si>
  <si>
    <t>Jacksonville</t>
  </si>
  <si>
    <t>Johnson</t>
  </si>
  <si>
    <t>Jones</t>
  </si>
  <si>
    <t>Joseph</t>
  </si>
  <si>
    <t>Kalamazoo</t>
  </si>
  <si>
    <t>Kansas</t>
  </si>
  <si>
    <t>Kansas City</t>
  </si>
  <si>
    <t>Kearney</t>
  </si>
  <si>
    <t>Kentucky</t>
  </si>
  <si>
    <t>Kerney</t>
  </si>
  <si>
    <t>Kester (9 mos.)</t>
  </si>
  <si>
    <t>King</t>
  </si>
  <si>
    <t>Kirkwood</t>
  </si>
  <si>
    <t>Knostman</t>
  </si>
  <si>
    <t>Knoxville</t>
  </si>
  <si>
    <t>Krommenhoek</t>
  </si>
  <si>
    <t>KS</t>
  </si>
  <si>
    <t>KY</t>
  </si>
  <si>
    <t>LA</t>
  </si>
  <si>
    <t>LaBarge, Jr.</t>
  </si>
  <si>
    <t>Lackey</t>
  </si>
  <si>
    <t>Lafayette</t>
  </si>
  <si>
    <t>Lansing</t>
  </si>
  <si>
    <t>Laporte</t>
  </si>
  <si>
    <t>Las Vegas</t>
  </si>
  <si>
    <t>LAST NAME</t>
  </si>
  <si>
    <t>Laughlin</t>
  </si>
  <si>
    <t>Lawrence</t>
  </si>
  <si>
    <t>Ledford</t>
  </si>
  <si>
    <t>Levin</t>
  </si>
  <si>
    <t>Levy</t>
  </si>
  <si>
    <t>Lexington</t>
  </si>
  <si>
    <t>Loheit</t>
  </si>
  <si>
    <t>Long</t>
  </si>
  <si>
    <t>Longview</t>
  </si>
  <si>
    <t>Los Angeles</t>
  </si>
  <si>
    <t>Louisiana</t>
  </si>
  <si>
    <t>Louisville</t>
  </si>
  <si>
    <t>Loves Park</t>
  </si>
  <si>
    <t>Lubbock</t>
  </si>
  <si>
    <t>Lynchburg</t>
  </si>
  <si>
    <t>MA</t>
  </si>
  <si>
    <t>Macco</t>
  </si>
  <si>
    <t>Macon</t>
  </si>
  <si>
    <t>Madison</t>
  </si>
  <si>
    <t>Maine</t>
  </si>
  <si>
    <t>Manasquan</t>
  </si>
  <si>
    <t>Maryland</t>
  </si>
  <si>
    <t>Massachusetts</t>
  </si>
  <si>
    <t>Mazer</t>
  </si>
  <si>
    <t>McCullough</t>
  </si>
  <si>
    <t>McDonald</t>
  </si>
  <si>
    <t>McDonald, Jr.</t>
  </si>
  <si>
    <t>McRoberts</t>
  </si>
  <si>
    <t>MD</t>
  </si>
  <si>
    <t>ME</t>
  </si>
  <si>
    <t>Memphis</t>
  </si>
  <si>
    <t>MENTS</t>
  </si>
  <si>
    <t>Meridian</t>
  </si>
  <si>
    <t>Meyer</t>
  </si>
  <si>
    <t>MI</t>
  </si>
  <si>
    <t>Miami</t>
  </si>
  <si>
    <t>Michigan</t>
  </si>
  <si>
    <t>Michigan City</t>
  </si>
  <si>
    <t>Mickelson</t>
  </si>
  <si>
    <t>Middle</t>
  </si>
  <si>
    <t>Midland</t>
  </si>
  <si>
    <t>Milwaukee</t>
  </si>
  <si>
    <t>Minneapolis</t>
  </si>
  <si>
    <t>Minnesota</t>
  </si>
  <si>
    <t>Mishler</t>
  </si>
  <si>
    <t>Mississippi</t>
  </si>
  <si>
    <t>Missouri</t>
  </si>
  <si>
    <t>MN</t>
  </si>
  <si>
    <t>MO</t>
  </si>
  <si>
    <t>Mogavero</t>
  </si>
  <si>
    <t>Montana</t>
  </si>
  <si>
    <t>Morin</t>
  </si>
  <si>
    <t>MORTGAGE/</t>
  </si>
  <si>
    <t>MS</t>
  </si>
  <si>
    <t>MT</t>
  </si>
  <si>
    <t>Musgrave, II</t>
  </si>
  <si>
    <t>Muskogee</t>
  </si>
  <si>
    <t>Myers</t>
  </si>
  <si>
    <t>N.A.</t>
  </si>
  <si>
    <t>Nashville</t>
  </si>
  <si>
    <t>NATIONAL AVGS.</t>
  </si>
  <si>
    <t>NATIONAL TOTALS</t>
  </si>
  <si>
    <t>ND</t>
  </si>
  <si>
    <t>NE</t>
  </si>
  <si>
    <t>Nebraska</t>
  </si>
  <si>
    <t>Nevada</t>
  </si>
  <si>
    <t>NEW</t>
  </si>
  <si>
    <t>New Hampshire</t>
  </si>
  <si>
    <t>New Jersey</t>
  </si>
  <si>
    <t>New Mexico</t>
  </si>
  <si>
    <t>New Orleans</t>
  </si>
  <si>
    <t>New York</t>
  </si>
  <si>
    <t>New York - Connecticut</t>
  </si>
  <si>
    <t>NH</t>
  </si>
  <si>
    <t>Niklas</t>
  </si>
  <si>
    <t>NJ</t>
  </si>
  <si>
    <t>NM</t>
  </si>
  <si>
    <t>NON-FEE</t>
  </si>
  <si>
    <t>North Dakota and Minnesota</t>
  </si>
  <si>
    <t>North Little Rock</t>
  </si>
  <si>
    <t>Northern</t>
  </si>
  <si>
    <t>Northern/Southern</t>
  </si>
  <si>
    <t>Norwood</t>
  </si>
  <si>
    <t>NOTE 2 - KING/PAPPALARDO: 13 MONTHS.  COVERS 9/1/95-9/30/96% FEE AND $ DOLLARS TRANSFERRED BASED ON PAPPALARDO</t>
  </si>
  <si>
    <t>NOTE 3 - DERHAM-BURK:  3 MONTHS.  COVERS 7/1/96-9/30/96 UNAUDITED.</t>
  </si>
  <si>
    <t>NOTE:  Emerson &amp; Stevenson classified Ongoing Mortgage Payments as Priority Disbursements; they have been moved to Secured Disbursements for consistency of data. 3/1/01</t>
  </si>
  <si>
    <t>NV</t>
  </si>
  <si>
    <t>NY</t>
  </si>
  <si>
    <t>Oakland</t>
  </si>
  <si>
    <t>O'Cheskey</t>
  </si>
  <si>
    <t>O'Connell</t>
  </si>
  <si>
    <t>O'Donnell</t>
  </si>
  <si>
    <t>OF 17%</t>
  </si>
  <si>
    <t>OFFICE</t>
  </si>
  <si>
    <t>OH</t>
  </si>
  <si>
    <t>Ohio</t>
  </si>
  <si>
    <t>OK</t>
  </si>
  <si>
    <t>Oklahoma</t>
  </si>
  <si>
    <t>Oklahoma City</t>
  </si>
  <si>
    <t>Olson</t>
  </si>
  <si>
    <t>Omaha</t>
  </si>
  <si>
    <t>OPER.</t>
  </si>
  <si>
    <t>OR</t>
  </si>
  <si>
    <t>Oregon</t>
  </si>
  <si>
    <t>Oshkosh</t>
  </si>
  <si>
    <t>OTHER</t>
  </si>
  <si>
    <t>OUTSIDE</t>
  </si>
  <si>
    <t>PA</t>
  </si>
  <si>
    <t>Palmer</t>
  </si>
  <si>
    <t>Pappalardo/King</t>
  </si>
  <si>
    <t>Paris</t>
  </si>
  <si>
    <t>Parrish</t>
  </si>
  <si>
    <t>PAYABLE</t>
  </si>
  <si>
    <t>PAYMENTS</t>
  </si>
  <si>
    <t>PAYROLL</t>
  </si>
  <si>
    <t>Pees</t>
  </si>
  <si>
    <t>Pendleton</t>
  </si>
  <si>
    <t>Pennsylvania</t>
  </si>
  <si>
    <t>Peoria</t>
  </si>
  <si>
    <t>PERIOD ONLY.</t>
  </si>
  <si>
    <t>Petta</t>
  </si>
  <si>
    <t>Phelps</t>
  </si>
  <si>
    <t>Philadelphia</t>
  </si>
  <si>
    <t>Phoenix</t>
  </si>
  <si>
    <t>Pittsburgh</t>
  </si>
  <si>
    <t>Pocatello</t>
  </si>
  <si>
    <t>Portland</t>
  </si>
  <si>
    <t>Portsmouth</t>
  </si>
  <si>
    <t>POSTAGE/</t>
  </si>
  <si>
    <t>PR</t>
  </si>
  <si>
    <t>PRIORITY</t>
  </si>
  <si>
    <t>Providence</t>
  </si>
  <si>
    <t>Puerto Rico &amp; Virgin Islands</t>
  </si>
  <si>
    <t>PURCHASE</t>
  </si>
  <si>
    <t>Rakozy</t>
  </si>
  <si>
    <t>RATIO</t>
  </si>
  <si>
    <t>Rau</t>
  </si>
  <si>
    <t>Reading</t>
  </si>
  <si>
    <t>RECEIPTS</t>
  </si>
  <si>
    <t>REFUNDS TO</t>
  </si>
  <si>
    <t>REG</t>
  </si>
  <si>
    <t>Reiber</t>
  </si>
  <si>
    <t>Reigle</t>
  </si>
  <si>
    <t>RELATE/</t>
  </si>
  <si>
    <t>RELATED</t>
  </si>
  <si>
    <t>Reno</t>
  </si>
  <si>
    <t>RENT AND</t>
  </si>
  <si>
    <t>RENTAL</t>
  </si>
  <si>
    <t>Rhode Island</t>
  </si>
  <si>
    <t>RI</t>
  </si>
  <si>
    <t>Richman</t>
  </si>
  <si>
    <t>Richmond</t>
  </si>
  <si>
    <t>Ridgway</t>
  </si>
  <si>
    <t>Roanoke</t>
  </si>
  <si>
    <t>Rochester</t>
  </si>
  <si>
    <t>Rock Island</t>
  </si>
  <si>
    <t>Rockville Centre</t>
  </si>
  <si>
    <t>Rodgers</t>
  </si>
  <si>
    <t>Rodriguez</t>
  </si>
  <si>
    <t>Rosen</t>
  </si>
  <si>
    <t>Rosenbaum</t>
  </si>
  <si>
    <t>Rosenthal</t>
  </si>
  <si>
    <t>Roth</t>
  </si>
  <si>
    <t>Ruskin</t>
  </si>
  <si>
    <t>Sacramento</t>
  </si>
  <si>
    <t>Saginaw</t>
  </si>
  <si>
    <t>SALARIES</t>
  </si>
  <si>
    <t>Salt Lake City</t>
  </si>
  <si>
    <t>San Antonio</t>
  </si>
  <si>
    <t>San Diego</t>
  </si>
  <si>
    <t>San Francisco</t>
  </si>
  <si>
    <t>San Jose</t>
  </si>
  <si>
    <t xml:space="preserve">San Jose </t>
  </si>
  <si>
    <t>San Juan</t>
  </si>
  <si>
    <t>Santa Ana</t>
  </si>
  <si>
    <t>Santoro</t>
  </si>
  <si>
    <t>Sapir</t>
  </si>
  <si>
    <t>Satterlee, Jr.</t>
  </si>
  <si>
    <t>Savage</t>
  </si>
  <si>
    <t>Savannah</t>
  </si>
  <si>
    <t>SC</t>
  </si>
  <si>
    <t>Schulman</t>
  </si>
  <si>
    <t>Scura</t>
  </si>
  <si>
    <t>SD</t>
  </si>
  <si>
    <t>Seattle</t>
  </si>
  <si>
    <t>SECURED</t>
  </si>
  <si>
    <t>Sensenich</t>
  </si>
  <si>
    <t>SERVICES</t>
  </si>
  <si>
    <t>Seymour</t>
  </si>
  <si>
    <t>Shreveport</t>
  </si>
  <si>
    <t>Simmons</t>
  </si>
  <si>
    <t>Sioux Falls</t>
  </si>
  <si>
    <t>Skelton</t>
  </si>
  <si>
    <t>Smith</t>
  </si>
  <si>
    <t>Smith, Kristen</t>
  </si>
  <si>
    <t>Smith, Terry</t>
  </si>
  <si>
    <t>South Carolina</t>
  </si>
  <si>
    <t>South Dakota</t>
  </si>
  <si>
    <t>Southern</t>
  </si>
  <si>
    <t>Southern/Northern</t>
  </si>
  <si>
    <t>Southfield</t>
  </si>
  <si>
    <t>Sparkman</t>
  </si>
  <si>
    <t>Spears</t>
  </si>
  <si>
    <t>Spokane</t>
  </si>
  <si>
    <t>Springfield</t>
  </si>
  <si>
    <t>Spurgeon</t>
  </si>
  <si>
    <t>START '95</t>
  </si>
  <si>
    <t>START '96</t>
  </si>
  <si>
    <t>STATE</t>
  </si>
  <si>
    <t>Stephenson, Jr.</t>
  </si>
  <si>
    <t>Stevenson</t>
  </si>
  <si>
    <t>Still</t>
  </si>
  <si>
    <t>Strickler</t>
  </si>
  <si>
    <t>SULTING</t>
  </si>
  <si>
    <t>Sumski</t>
  </si>
  <si>
    <t>SUPPLIES</t>
  </si>
  <si>
    <t>SURPLUS</t>
  </si>
  <si>
    <t>Swimelar</t>
  </si>
  <si>
    <t>TAKEN</t>
  </si>
  <si>
    <t>Tallahassee</t>
  </si>
  <si>
    <t>TAXES</t>
  </si>
  <si>
    <t>TELEPH/</t>
  </si>
  <si>
    <t>Tennessee</t>
  </si>
  <si>
    <t>Terre Haute</t>
  </si>
  <si>
    <t>Texas</t>
  </si>
  <si>
    <t>Thomas</t>
  </si>
  <si>
    <t>TN</t>
  </si>
  <si>
    <t>TO ANTHR</t>
  </si>
  <si>
    <t>TO USTP</t>
  </si>
  <si>
    <t>Toledo</t>
  </si>
  <si>
    <t>Topeka</t>
  </si>
  <si>
    <t>Toscano</t>
  </si>
  <si>
    <t>TOTAL</t>
  </si>
  <si>
    <t>TRAINING</t>
  </si>
  <si>
    <t>Truman</t>
  </si>
  <si>
    <t>TRUSTEE</t>
  </si>
  <si>
    <t>Tucson</t>
  </si>
  <si>
    <t>Tulsa</t>
  </si>
  <si>
    <t>TX</t>
  </si>
  <si>
    <t>Tyler</t>
  </si>
  <si>
    <t>UNSEC'D</t>
  </si>
  <si>
    <t>UST/Calab-9mo</t>
  </si>
  <si>
    <t>UST/Szabo-6mo</t>
  </si>
  <si>
    <t>UT</t>
  </si>
  <si>
    <t>Utah</t>
  </si>
  <si>
    <t>UTILS</t>
  </si>
  <si>
    <t>VA</t>
  </si>
  <si>
    <t>Vermont</t>
  </si>
  <si>
    <t>Virginia</t>
  </si>
  <si>
    <t>VT</t>
  </si>
  <si>
    <t>WA</t>
  </si>
  <si>
    <t>Wallace</t>
  </si>
  <si>
    <t>Warford</t>
  </si>
  <si>
    <t>Washington</t>
  </si>
  <si>
    <t>Wasserman</t>
  </si>
  <si>
    <t>Waterloo</t>
  </si>
  <si>
    <t>Watertown</t>
  </si>
  <si>
    <t>Wayne</t>
  </si>
  <si>
    <t>Weinberg</t>
  </si>
  <si>
    <t>Weiner</t>
  </si>
  <si>
    <t>West Virginia</t>
  </si>
  <si>
    <t>Western</t>
  </si>
  <si>
    <t>Western and Eastern</t>
  </si>
  <si>
    <t>White</t>
  </si>
  <si>
    <t>White Plains</t>
  </si>
  <si>
    <t>WI</t>
  </si>
  <si>
    <t>Wichita</t>
  </si>
  <si>
    <t>Widener</t>
  </si>
  <si>
    <t>Wigfall</t>
  </si>
  <si>
    <t>Wilder</t>
  </si>
  <si>
    <t>Wilmington</t>
  </si>
  <si>
    <t>Wilson</t>
  </si>
  <si>
    <t>Winterpark</t>
  </si>
  <si>
    <t>Wisconsin</t>
  </si>
  <si>
    <t>Wood</t>
  </si>
  <si>
    <t>Worcester</t>
  </si>
  <si>
    <t>Worthington</t>
  </si>
  <si>
    <t>WV</t>
  </si>
  <si>
    <t>WY</t>
  </si>
  <si>
    <t>Wyoming and Utah</t>
  </si>
  <si>
    <t>Yarnall</t>
  </si>
  <si>
    <t>Youngstown</t>
  </si>
  <si>
    <t>Yuma</t>
  </si>
  <si>
    <t>Zeman</t>
  </si>
  <si>
    <t>Zimmerman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</si>
</sst>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$-409]\ #,##0"/>
    <numFmt numFmtId="165" formatCode="#,##0.0"/>
    <numFmt numFmtId="166" formatCode="0.0%"/>
    <numFmt numFmtId="167" formatCode="\_x0007_;;;"/>
  </numFmts>
  <fonts count="4" x14ac:knownFonts="1">
    <font>
      <sz val="12"/>
      <name val="Arial"/>
    </font>
    <font>
      <sz val="10"/>
      <name val="Arial"/>
    </font>
    <font>
      <sz val="8"/>
      <name val="Arial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9"/>
        <bgColor indexed="8"/>
      </patternFill>
    </fill>
  </fills>
  <borders count="11"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</borders>
  <cellStyleXfs count="1">
    <xf numFmtId="0" fontId="0" fillId="0" borderId="0"/>
  </cellStyleXfs>
  <cellXfs count="37">
    <xf numFmtId="3" fontId="0" fillId="2" borderId="0" xfId="0" applyNumberFormat="1" applyFill="1"/>
    <xf numFmtId="0" fontId="1" fillId="2" borderId="1" xfId="0" applyFont="1" applyFill="1" applyBorder="1"/>
    <xf numFmtId="3" fontId="1" fillId="2" borderId="0" xfId="0" applyNumberFormat="1" applyFont="1" applyFill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0" xfId="0" applyFont="1" applyFill="1"/>
    <xf numFmtId="0" fontId="1" fillId="2" borderId="5" xfId="0" applyFont="1" applyFill="1" applyBorder="1"/>
    <xf numFmtId="3" fontId="2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/>
    <xf numFmtId="0" fontId="1" fillId="2" borderId="7" xfId="0" applyFont="1" applyFill="1" applyBorder="1"/>
    <xf numFmtId="3" fontId="1" fillId="2" borderId="6" xfId="0" applyNumberFormat="1" applyFont="1" applyFill="1" applyBorder="1"/>
    <xf numFmtId="3" fontId="1" fillId="2" borderId="5" xfId="0" applyNumberFormat="1" applyFont="1" applyFill="1" applyBorder="1"/>
    <xf numFmtId="3" fontId="1" fillId="2" borderId="3" xfId="0" applyNumberFormat="1" applyFont="1" applyFill="1" applyBorder="1"/>
    <xf numFmtId="0" fontId="3" fillId="2" borderId="0" xfId="0" applyFont="1" applyFill="1"/>
    <xf numFmtId="22" fontId="3" fillId="2" borderId="0" xfId="0" applyNumberFormat="1" applyFont="1" applyFill="1"/>
    <xf numFmtId="164" fontId="1" fillId="2" borderId="5" xfId="0" applyNumberFormat="1" applyFont="1" applyFill="1" applyBorder="1"/>
    <xf numFmtId="165" fontId="1" fillId="2" borderId="6" xfId="0" applyNumberFormat="1" applyFont="1" applyFill="1" applyBorder="1"/>
    <xf numFmtId="166" fontId="1" fillId="2" borderId="5" xfId="0" applyNumberFormat="1" applyFont="1" applyFill="1" applyBorder="1"/>
    <xf numFmtId="10" fontId="1" fillId="2" borderId="6" xfId="0" applyNumberFormat="1" applyFont="1" applyFill="1" applyBorder="1"/>
    <xf numFmtId="10" fontId="1" fillId="2" borderId="5" xfId="0" applyNumberFormat="1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3" fontId="1" fillId="2" borderId="2" xfId="0" applyNumberFormat="1" applyFont="1" applyFill="1" applyBorder="1"/>
    <xf numFmtId="165" fontId="2" fillId="2" borderId="0" xfId="0" applyNumberFormat="1" applyFont="1" applyFill="1"/>
    <xf numFmtId="10" fontId="2" fillId="2" borderId="0" xfId="0" applyNumberFormat="1" applyFont="1" applyFill="1"/>
    <xf numFmtId="167" fontId="2" fillId="2" borderId="0" xfId="0" applyNumberFormat="1" applyFont="1" applyFill="1"/>
    <xf numFmtId="166" fontId="2" fillId="2" borderId="0" xfId="0" applyNumberFormat="1" applyFont="1" applyFill="1"/>
    <xf numFmtId="0" fontId="1" fillId="3" borderId="10" xfId="0" applyFont="1" applyFill="1" applyBorder="1"/>
    <xf numFmtId="0" fontId="1" fillId="3" borderId="8" xfId="0" applyFont="1" applyFill="1" applyBorder="1"/>
    <xf numFmtId="3" fontId="1" fillId="3" borderId="8" xfId="0" applyNumberFormat="1" applyFont="1" applyFill="1" applyBorder="1"/>
    <xf numFmtId="3" fontId="1" fillId="3" borderId="5" xfId="0" applyNumberFormat="1" applyFont="1" applyFill="1" applyBorder="1"/>
    <xf numFmtId="166" fontId="1" fillId="3" borderId="5" xfId="0" applyNumberFormat="1" applyFont="1" applyFill="1" applyBorder="1"/>
    <xf numFmtId="165" fontId="1" fillId="3" borderId="5" xfId="0" applyNumberFormat="1" applyFont="1" applyFill="1" applyBorder="1"/>
    <xf numFmtId="10" fontId="1" fillId="3" borderId="5" xfId="0" applyNumberFormat="1" applyFont="1" applyFill="1" applyBorder="1"/>
    <xf numFmtId="0" fontId="1" fillId="3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C0C0C0"/>
      <rgbColor rgb="00000000"/>
      <rgbColor rgb="00FFFFFF"/>
      <rgbColor rgb="00FF0000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196"/>
  <sheetViews>
    <sheetView showGridLines="0" tabSelected="1" workbookViewId="0"/>
  </sheetViews>
  <sheetFormatPr defaultRowHeight="15" x14ac:dyDescent="0.25"/>
  <cols>
    <col min="1" max="1" width="5.08984375" style="8" customWidth="1"/>
    <col min="2" max="2" width="14.08984375" style="8" customWidth="1"/>
    <col min="3" max="3" width="12.26953125" style="8" customWidth="1"/>
    <col min="4" max="4" width="5.90625" style="8" customWidth="1"/>
    <col min="5" max="5" width="17.1796875" style="8" customWidth="1"/>
    <col min="6" max="6" width="16.7265625" style="8" customWidth="1"/>
    <col min="7" max="7" width="14.08984375" style="8" customWidth="1"/>
    <col min="8" max="8" width="10.54296875" style="8" customWidth="1"/>
    <col min="9" max="9" width="12.6328125" style="8" customWidth="1"/>
    <col min="10" max="10" width="12" style="8" customWidth="1"/>
    <col min="11" max="11" width="12.1796875" style="8" customWidth="1"/>
    <col min="12" max="13" width="11.54296875" style="8" customWidth="1"/>
    <col min="14" max="14" width="14.08984375" style="8" customWidth="1"/>
    <col min="15" max="15" width="9.54296875" style="8" customWidth="1"/>
    <col min="16" max="16" width="12.36328125" style="8" customWidth="1"/>
    <col min="17" max="17" width="8.54296875" style="8" customWidth="1"/>
    <col min="18" max="18" width="12.6328125" style="8" customWidth="1"/>
    <col min="19" max="19" width="10.54296875" style="8" customWidth="1"/>
    <col min="20" max="20" width="11.54296875" style="8" customWidth="1"/>
    <col min="21" max="24" width="10.54296875" style="8" customWidth="1"/>
    <col min="25" max="25" width="10.90625" style="8" customWidth="1"/>
    <col min="26" max="26" width="9.7265625" style="8" customWidth="1"/>
    <col min="27" max="27" width="11.54296875" style="8" customWidth="1"/>
    <col min="28" max="28" width="9.08984375" style="8" customWidth="1"/>
    <col min="29" max="29" width="10" style="8" customWidth="1"/>
    <col min="30" max="30" width="11" style="8" customWidth="1"/>
    <col min="31" max="31" width="10.54296875" style="8" customWidth="1"/>
    <col min="32" max="32" width="12.6328125" style="8" customWidth="1"/>
    <col min="33" max="33" width="8.26953125" style="8" customWidth="1"/>
    <col min="34" max="34" width="11.08984375" style="8" customWidth="1"/>
    <col min="35" max="35" width="11.54296875" style="8" customWidth="1"/>
    <col min="36" max="36" width="8.81640625" style="8" customWidth="1"/>
    <col min="37" max="37" width="11.54296875" style="8" customWidth="1"/>
    <col min="38" max="38" width="11.26953125" style="8" customWidth="1"/>
    <col min="39" max="40" width="9.08984375" style="8" customWidth="1"/>
    <col min="41" max="41" width="9.1796875" style="8" customWidth="1"/>
    <col min="42" max="42" width="8.26953125" style="8" customWidth="1"/>
    <col min="43" max="43" width="10.81640625" style="8" customWidth="1"/>
    <col min="44" max="44" width="9.54296875" style="8" customWidth="1"/>
    <col min="45" max="46" width="8.26953125" style="8" customWidth="1"/>
    <col min="47" max="47" width="9.453125" style="8" customWidth="1"/>
    <col min="48" max="48" width="10.36328125" style="8" customWidth="1"/>
    <col min="49" max="49" width="8.26953125" style="8" customWidth="1"/>
    <col min="50" max="50" width="9.54296875" style="8" customWidth="1"/>
    <col min="51" max="51" width="8.81640625" style="8" customWidth="1"/>
    <col min="52" max="54" width="8.26953125" style="8" customWidth="1"/>
    <col min="55" max="55" width="9.54296875" style="8" customWidth="1"/>
    <col min="56" max="244" width="8.26953125" style="8" customWidth="1"/>
  </cols>
  <sheetData>
    <row r="1" spans="1:55" x14ac:dyDescent="0.25">
      <c r="C1" s="6" t="s">
        <v>2</v>
      </c>
      <c r="M1" s="16"/>
      <c r="P1" s="10"/>
      <c r="Q1" s="16"/>
      <c r="S1" s="10"/>
      <c r="AB1" s="16"/>
      <c r="AD1" s="10"/>
      <c r="AE1" s="10"/>
      <c r="AP1" s="16"/>
      <c r="AR1" s="10"/>
      <c r="AU1" s="10"/>
      <c r="BB1" s="16"/>
    </row>
    <row r="2" spans="1:55" x14ac:dyDescent="0.25">
      <c r="A2" s="10"/>
      <c r="C2" s="6" t="s">
        <v>175</v>
      </c>
      <c r="P2" s="10"/>
      <c r="R2" s="10"/>
      <c r="S2" s="10"/>
      <c r="T2" s="27"/>
      <c r="AD2" s="10"/>
      <c r="AE2" s="10"/>
      <c r="AR2" s="10"/>
      <c r="AU2" s="10"/>
    </row>
    <row r="3" spans="1:55" x14ac:dyDescent="0.25">
      <c r="M3" s="16"/>
    </row>
    <row r="5" spans="1:55" x14ac:dyDescent="0.25">
      <c r="A5" s="3"/>
      <c r="B5" s="1"/>
      <c r="C5" s="1"/>
      <c r="D5" s="1"/>
      <c r="E5" s="1"/>
      <c r="F5" s="1"/>
      <c r="G5" s="1" t="s">
        <v>189</v>
      </c>
      <c r="H5" s="1"/>
      <c r="I5" s="1"/>
      <c r="J5" s="1" t="s">
        <v>436</v>
      </c>
      <c r="K5" s="1" t="s">
        <v>381</v>
      </c>
      <c r="L5" s="1" t="s">
        <v>491</v>
      </c>
      <c r="M5" s="1" t="s">
        <v>121</v>
      </c>
      <c r="N5" s="1" t="s">
        <v>483</v>
      </c>
      <c r="O5" s="1" t="s">
        <v>78</v>
      </c>
      <c r="P5" s="1" t="s">
        <v>328</v>
      </c>
      <c r="Q5" s="1" t="s">
        <v>34</v>
      </c>
      <c r="R5" s="1"/>
      <c r="S5" s="1"/>
      <c r="T5" s="22" t="s">
        <v>1</v>
      </c>
      <c r="U5" s="22"/>
      <c r="V5" s="23"/>
      <c r="W5" s="1" t="s">
        <v>344</v>
      </c>
      <c r="X5" s="1" t="s">
        <v>357</v>
      </c>
      <c r="Y5" s="1"/>
      <c r="Z5" s="1" t="s">
        <v>105</v>
      </c>
      <c r="AA5" s="1" t="s">
        <v>472</v>
      </c>
      <c r="AB5" s="1"/>
      <c r="AC5" s="1" t="s">
        <v>153</v>
      </c>
      <c r="AD5" s="1" t="s">
        <v>153</v>
      </c>
      <c r="AE5" s="1" t="s">
        <v>483</v>
      </c>
      <c r="AF5" s="1"/>
      <c r="AG5" s="1" t="s">
        <v>394</v>
      </c>
      <c r="AH5" s="1" t="s">
        <v>45</v>
      </c>
      <c r="AI5" s="1"/>
      <c r="AJ5" s="1"/>
      <c r="AK5" s="1" t="s">
        <v>150</v>
      </c>
      <c r="AL5" s="1" t="s">
        <v>158</v>
      </c>
      <c r="AM5" s="1" t="s">
        <v>467</v>
      </c>
      <c r="AN5" s="1" t="s">
        <v>9</v>
      </c>
      <c r="AO5" s="1" t="s">
        <v>77</v>
      </c>
      <c r="AP5" s="1" t="s">
        <v>317</v>
      </c>
      <c r="AQ5" s="1" t="s">
        <v>77</v>
      </c>
      <c r="AR5" s="1"/>
      <c r="AS5" s="1"/>
      <c r="AT5" s="1"/>
      <c r="AU5" s="1"/>
      <c r="AV5" s="1" t="s">
        <v>77</v>
      </c>
      <c r="AW5" s="1" t="s">
        <v>317</v>
      </c>
      <c r="AX5" s="1" t="s">
        <v>77</v>
      </c>
      <c r="AY5" s="1"/>
      <c r="AZ5" s="1"/>
      <c r="BA5" s="1"/>
      <c r="BB5" s="1"/>
      <c r="BC5" s="3"/>
    </row>
    <row r="6" spans="1:55" x14ac:dyDescent="0.25">
      <c r="A6" s="4"/>
      <c r="B6" s="9" t="s">
        <v>486</v>
      </c>
      <c r="C6" s="9"/>
      <c r="D6" s="9"/>
      <c r="E6" s="9" t="s">
        <v>136</v>
      </c>
      <c r="F6" s="9" t="s">
        <v>459</v>
      </c>
      <c r="G6" s="9" t="s">
        <v>121</v>
      </c>
      <c r="H6" s="9"/>
      <c r="I6" s="9" t="s">
        <v>390</v>
      </c>
      <c r="J6" s="9" t="s">
        <v>112</v>
      </c>
      <c r="K6" s="9" t="s">
        <v>112</v>
      </c>
      <c r="L6" s="9" t="s">
        <v>112</v>
      </c>
      <c r="M6" s="9" t="s">
        <v>31</v>
      </c>
      <c r="N6" s="9" t="s">
        <v>134</v>
      </c>
      <c r="O6" s="9" t="s">
        <v>389</v>
      </c>
      <c r="P6" s="9" t="s">
        <v>303</v>
      </c>
      <c r="Q6" s="9" t="s">
        <v>6</v>
      </c>
      <c r="R6" s="9" t="s">
        <v>4</v>
      </c>
      <c r="S6" s="9" t="s">
        <v>107</v>
      </c>
      <c r="T6" s="9"/>
      <c r="U6" s="9" t="s">
        <v>365</v>
      </c>
      <c r="V6" s="9"/>
      <c r="W6" s="9" t="s">
        <v>397</v>
      </c>
      <c r="X6" s="9" t="s">
        <v>8</v>
      </c>
      <c r="Y6" s="9" t="s">
        <v>104</v>
      </c>
      <c r="Z6" s="9" t="s">
        <v>464</v>
      </c>
      <c r="AA6" s="9" t="s">
        <v>379</v>
      </c>
      <c r="AB6" s="9"/>
      <c r="AC6" s="9" t="s">
        <v>174</v>
      </c>
      <c r="AD6" s="9" t="s">
        <v>174</v>
      </c>
      <c r="AE6" s="9" t="s">
        <v>21</v>
      </c>
      <c r="AF6" s="9" t="s">
        <v>483</v>
      </c>
      <c r="AG6" s="9" t="s">
        <v>20</v>
      </c>
      <c r="AH6" s="9" t="s">
        <v>157</v>
      </c>
      <c r="AI6" s="9" t="s">
        <v>11</v>
      </c>
      <c r="AJ6" s="9" t="s">
        <v>156</v>
      </c>
      <c r="AK6" s="9" t="s">
        <v>158</v>
      </c>
      <c r="AL6" s="9" t="s">
        <v>218</v>
      </c>
      <c r="AM6" s="9" t="s">
        <v>363</v>
      </c>
      <c r="AN6" s="9" t="s">
        <v>352</v>
      </c>
      <c r="AO6" s="9" t="s">
        <v>10</v>
      </c>
      <c r="AP6" s="9" t="s">
        <v>77</v>
      </c>
      <c r="AQ6" s="9" t="s">
        <v>108</v>
      </c>
      <c r="AR6" s="9" t="s">
        <v>77</v>
      </c>
      <c r="AS6" s="9" t="s">
        <v>77</v>
      </c>
      <c r="AT6" s="9" t="s">
        <v>356</v>
      </c>
      <c r="AU6" s="9" t="s">
        <v>3</v>
      </c>
      <c r="AV6" s="9" t="s">
        <v>10</v>
      </c>
      <c r="AW6" s="9" t="s">
        <v>77</v>
      </c>
      <c r="AX6" s="9" t="s">
        <v>108</v>
      </c>
      <c r="AY6" s="9" t="s">
        <v>77</v>
      </c>
      <c r="AZ6" s="9" t="s">
        <v>77</v>
      </c>
      <c r="BA6" s="9" t="s">
        <v>356</v>
      </c>
      <c r="BB6" s="9" t="s">
        <v>3</v>
      </c>
      <c r="BC6" s="4" t="s">
        <v>77</v>
      </c>
    </row>
    <row r="7" spans="1:55" x14ac:dyDescent="0.25">
      <c r="A7" s="5" t="s">
        <v>391</v>
      </c>
      <c r="B7" s="11" t="s">
        <v>250</v>
      </c>
      <c r="C7" s="11" t="s">
        <v>92</v>
      </c>
      <c r="D7" s="11" t="s">
        <v>459</v>
      </c>
      <c r="E7" s="11" t="s">
        <v>25</v>
      </c>
      <c r="F7" s="11" t="s">
        <v>25</v>
      </c>
      <c r="G7" s="11" t="s">
        <v>364</v>
      </c>
      <c r="H7" s="11" t="s">
        <v>221</v>
      </c>
      <c r="I7" s="11" t="s">
        <v>122</v>
      </c>
      <c r="J7" s="11" t="s">
        <v>132</v>
      </c>
      <c r="K7" s="11" t="s">
        <v>132</v>
      </c>
      <c r="L7" s="11" t="s">
        <v>132</v>
      </c>
      <c r="M7" s="11" t="s">
        <v>133</v>
      </c>
      <c r="N7" s="11" t="s">
        <v>282</v>
      </c>
      <c r="O7" s="11" t="s">
        <v>386</v>
      </c>
      <c r="P7" s="11" t="s">
        <v>89</v>
      </c>
      <c r="Q7" s="11" t="s">
        <v>24</v>
      </c>
      <c r="R7" s="11" t="s">
        <v>469</v>
      </c>
      <c r="S7" s="11" t="s">
        <v>389</v>
      </c>
      <c r="T7" s="11" t="s">
        <v>417</v>
      </c>
      <c r="U7" s="11" t="s">
        <v>471</v>
      </c>
      <c r="V7" s="11" t="s">
        <v>49</v>
      </c>
      <c r="W7" s="11" t="s">
        <v>496</v>
      </c>
      <c r="X7" s="11" t="s">
        <v>438</v>
      </c>
      <c r="Y7" s="11" t="s">
        <v>438</v>
      </c>
      <c r="Z7" s="11" t="s">
        <v>438</v>
      </c>
      <c r="AA7" s="11" t="s">
        <v>466</v>
      </c>
      <c r="AB7" s="11" t="s">
        <v>484</v>
      </c>
      <c r="AC7" s="11" t="s">
        <v>398</v>
      </c>
      <c r="AD7" s="11" t="s">
        <v>384</v>
      </c>
      <c r="AE7" s="11" t="s">
        <v>395</v>
      </c>
      <c r="AF7" s="11" t="s">
        <v>159</v>
      </c>
      <c r="AG7" s="11" t="s">
        <v>5</v>
      </c>
      <c r="AH7" s="11" t="s">
        <v>36</v>
      </c>
      <c r="AI7" s="11" t="s">
        <v>102</v>
      </c>
      <c r="AJ7" s="11" t="s">
        <v>102</v>
      </c>
      <c r="AK7" s="11" t="s">
        <v>36</v>
      </c>
      <c r="AL7" s="11" t="s">
        <v>343</v>
      </c>
      <c r="AM7" s="11" t="s">
        <v>479</v>
      </c>
      <c r="AN7" s="11" t="s">
        <v>124</v>
      </c>
      <c r="AO7" s="11" t="s">
        <v>458</v>
      </c>
      <c r="AP7" s="11" t="s">
        <v>163</v>
      </c>
      <c r="AQ7" s="11" t="s">
        <v>478</v>
      </c>
      <c r="AR7" s="11" t="s">
        <v>135</v>
      </c>
      <c r="AS7" s="11" t="s">
        <v>95</v>
      </c>
      <c r="AT7" s="11" t="s">
        <v>12</v>
      </c>
      <c r="AU7" s="11" t="s">
        <v>149</v>
      </c>
      <c r="AV7" s="11" t="s">
        <v>457</v>
      </c>
      <c r="AW7" s="11" t="s">
        <v>163</v>
      </c>
      <c r="AX7" s="11" t="s">
        <v>478</v>
      </c>
      <c r="AY7" s="11" t="s">
        <v>135</v>
      </c>
      <c r="AZ7" s="11" t="s">
        <v>95</v>
      </c>
      <c r="BA7" s="11" t="s">
        <v>12</v>
      </c>
      <c r="BB7" s="11" t="s">
        <v>148</v>
      </c>
      <c r="BC7" s="4" t="s">
        <v>7</v>
      </c>
    </row>
    <row r="8" spans="1:55" x14ac:dyDescent="0.25">
      <c r="A8" s="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2"/>
      <c r="Q8" s="20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24"/>
    </row>
    <row r="9" spans="1:55" x14ac:dyDescent="0.25">
      <c r="A9" s="29"/>
      <c r="B9" s="30" t="s">
        <v>311</v>
      </c>
      <c r="C9" s="30"/>
      <c r="D9" s="31"/>
      <c r="E9" s="31"/>
      <c r="F9" s="31"/>
      <c r="G9" s="32">
        <f t="shared" ref="G9:AF9" si="0">AVERAGE(G12:G183)</f>
        <v>13021711.744186046</v>
      </c>
      <c r="H9" s="32">
        <f t="shared" si="0"/>
        <v>48743.825290697678</v>
      </c>
      <c r="I9" s="32">
        <f t="shared" si="0"/>
        <v>589749.44825581391</v>
      </c>
      <c r="J9" s="32">
        <f t="shared" si="0"/>
        <v>6721513.0625581397</v>
      </c>
      <c r="K9" s="32">
        <f t="shared" si="0"/>
        <v>1277471.0557558141</v>
      </c>
      <c r="L9" s="32">
        <f t="shared" si="0"/>
        <v>2556722.9001744185</v>
      </c>
      <c r="M9" s="32">
        <f t="shared" si="0"/>
        <v>931781.37941860454</v>
      </c>
      <c r="N9" s="32">
        <f t="shared" si="0"/>
        <v>12236421.121453488</v>
      </c>
      <c r="O9" s="33">
        <f t="shared" si="0"/>
        <v>0.11733505248659555</v>
      </c>
      <c r="P9" s="32">
        <f t="shared" si="0"/>
        <v>631059.55902774748</v>
      </c>
      <c r="Q9" s="35">
        <f t="shared" si="0"/>
        <v>7.1699593545242163E-2</v>
      </c>
      <c r="R9" s="32">
        <f t="shared" si="0"/>
        <v>657821.96773255814</v>
      </c>
      <c r="S9" s="32">
        <f t="shared" si="0"/>
        <v>5955.25</v>
      </c>
      <c r="T9" s="32">
        <f t="shared" si="0"/>
        <v>299129.76075116283</v>
      </c>
      <c r="U9" s="32">
        <f t="shared" si="0"/>
        <v>25542.086418604653</v>
      </c>
      <c r="V9" s="32">
        <f t="shared" si="0"/>
        <v>55646.211739534883</v>
      </c>
      <c r="W9" s="32">
        <f t="shared" si="0"/>
        <v>56015.233953488372</v>
      </c>
      <c r="X9" s="32">
        <f t="shared" si="0"/>
        <v>6464.269415204677</v>
      </c>
      <c r="Y9" s="32">
        <f t="shared" si="0"/>
        <v>27062.752267441865</v>
      </c>
      <c r="Z9" s="32">
        <f t="shared" si="0"/>
        <v>5405.895348837209</v>
      </c>
      <c r="AA9" s="32">
        <f t="shared" si="0"/>
        <v>60461.863604651167</v>
      </c>
      <c r="AB9" s="32">
        <f t="shared" si="0"/>
        <v>5836.4709302325582</v>
      </c>
      <c r="AC9" s="32">
        <f t="shared" si="0"/>
        <v>5013.3952906976747</v>
      </c>
      <c r="AD9" s="32">
        <f t="shared" si="0"/>
        <v>22284.788888888888</v>
      </c>
      <c r="AE9" s="32">
        <f t="shared" si="0"/>
        <v>46634.548081395347</v>
      </c>
      <c r="AF9" s="32">
        <f t="shared" si="0"/>
        <v>618551.2108720931</v>
      </c>
      <c r="AG9" s="33">
        <f>AE10/AF10</f>
        <v>7.5393188569860645E-2</v>
      </c>
      <c r="AH9" s="32">
        <f t="shared" ref="AH9:BC9" si="1">AVERAGE(AH12:AH183)</f>
        <v>79061.398953488373</v>
      </c>
      <c r="AI9" s="32">
        <f t="shared" si="1"/>
        <v>109736.57773255813</v>
      </c>
      <c r="AJ9" s="32">
        <f t="shared" si="1"/>
        <v>20.715116279069768</v>
      </c>
      <c r="AK9" s="32">
        <f t="shared" si="1"/>
        <v>82178.616279069771</v>
      </c>
      <c r="AL9" s="32">
        <f t="shared" si="1"/>
        <v>803.12352941176471</v>
      </c>
      <c r="AM9" s="32">
        <f t="shared" si="1"/>
        <v>262.81976744186045</v>
      </c>
      <c r="AN9" s="32">
        <f t="shared" si="1"/>
        <v>1890.3546511627908</v>
      </c>
      <c r="AO9" s="32">
        <f t="shared" si="1"/>
        <v>3085.7616279069766</v>
      </c>
      <c r="AP9" s="32">
        <f t="shared" si="1"/>
        <v>1794.1627906976744</v>
      </c>
      <c r="AQ9" s="32">
        <f t="shared" si="1"/>
        <v>-186.18313953488371</v>
      </c>
      <c r="AR9" s="32">
        <f t="shared" si="1"/>
        <v>-877.99709302325584</v>
      </c>
      <c r="AS9" s="32">
        <f t="shared" si="1"/>
        <v>-513.56395348837214</v>
      </c>
      <c r="AT9" s="32">
        <f t="shared" si="1"/>
        <v>29.375</v>
      </c>
      <c r="AU9" s="32">
        <f t="shared" si="1"/>
        <v>3328.1395348837209</v>
      </c>
      <c r="AV9" s="32">
        <f t="shared" si="1"/>
        <v>3026.5301204819275</v>
      </c>
      <c r="AW9" s="32">
        <f t="shared" si="1"/>
        <v>1436.8975903614457</v>
      </c>
      <c r="AX9" s="32">
        <f t="shared" si="1"/>
        <v>-158.09939759036143</v>
      </c>
      <c r="AY9" s="32">
        <f t="shared" si="1"/>
        <v>-772.59939759036149</v>
      </c>
      <c r="AZ9" s="32">
        <f t="shared" si="1"/>
        <v>-482.7168674698795</v>
      </c>
      <c r="BA9" s="32">
        <f t="shared" si="1"/>
        <v>27.746478873239436</v>
      </c>
      <c r="BB9" s="32">
        <f t="shared" si="1"/>
        <v>3037.1547619047619</v>
      </c>
      <c r="BC9" s="32">
        <f t="shared" si="1"/>
        <v>27.011627906976745</v>
      </c>
    </row>
    <row r="10" spans="1:55" x14ac:dyDescent="0.25">
      <c r="A10" s="29"/>
      <c r="B10" s="30" t="s">
        <v>312</v>
      </c>
      <c r="C10" s="30"/>
      <c r="D10" s="31"/>
      <c r="E10" s="31"/>
      <c r="F10" s="31"/>
      <c r="G10" s="32">
        <f t="shared" ref="G10:N10" si="2">SUM(G12:G183)</f>
        <v>2239734420</v>
      </c>
      <c r="H10" s="32">
        <f t="shared" si="2"/>
        <v>8383937.9500000002</v>
      </c>
      <c r="I10" s="32">
        <f t="shared" si="2"/>
        <v>101436905.09999999</v>
      </c>
      <c r="J10" s="32">
        <f t="shared" si="2"/>
        <v>1156100246.76</v>
      </c>
      <c r="K10" s="32">
        <f t="shared" si="2"/>
        <v>219725021.59</v>
      </c>
      <c r="L10" s="32">
        <f t="shared" si="2"/>
        <v>439756338.82999998</v>
      </c>
      <c r="M10" s="32">
        <f t="shared" si="2"/>
        <v>160266397.25999999</v>
      </c>
      <c r="N10" s="32">
        <f t="shared" si="2"/>
        <v>2104664432.8900001</v>
      </c>
      <c r="O10" s="34" t="s">
        <v>309</v>
      </c>
      <c r="P10" s="32">
        <f>SUM(P12:P183)</f>
        <v>108542244.15277258</v>
      </c>
      <c r="Q10" s="36" t="s">
        <v>309</v>
      </c>
      <c r="R10" s="32">
        <f t="shared" ref="R10:AF10" si="3">SUM(R12:R183)</f>
        <v>113145378.45</v>
      </c>
      <c r="S10" s="32">
        <f t="shared" si="3"/>
        <v>1024303</v>
      </c>
      <c r="T10" s="32">
        <f t="shared" si="3"/>
        <v>51450318.849200003</v>
      </c>
      <c r="U10" s="32">
        <f t="shared" si="3"/>
        <v>4393238.8640000001</v>
      </c>
      <c r="V10" s="32">
        <f t="shared" si="3"/>
        <v>9571148.4191999994</v>
      </c>
      <c r="W10" s="32">
        <f t="shared" si="3"/>
        <v>9634620.2400000002</v>
      </c>
      <c r="X10" s="32">
        <f t="shared" si="3"/>
        <v>1105390.0699999998</v>
      </c>
      <c r="Y10" s="32">
        <f t="shared" si="3"/>
        <v>4654793.3900000006</v>
      </c>
      <c r="Z10" s="32">
        <f t="shared" si="3"/>
        <v>929814</v>
      </c>
      <c r="AA10" s="32">
        <f t="shared" si="3"/>
        <v>10399440.540000001</v>
      </c>
      <c r="AB10" s="32">
        <f t="shared" si="3"/>
        <v>1003873</v>
      </c>
      <c r="AC10" s="32">
        <f t="shared" si="3"/>
        <v>862303.99</v>
      </c>
      <c r="AD10" s="32">
        <f t="shared" si="3"/>
        <v>3810698.9</v>
      </c>
      <c r="AE10" s="32">
        <f t="shared" si="3"/>
        <v>8021142.2699999996</v>
      </c>
      <c r="AF10" s="32">
        <f t="shared" si="3"/>
        <v>106390808.27000001</v>
      </c>
      <c r="AG10" s="32" t="s">
        <v>309</v>
      </c>
      <c r="AH10" s="32">
        <f t="shared" ref="AH10:BC10" si="4">SUM(AH12:AH183)</f>
        <v>13598560.620000001</v>
      </c>
      <c r="AI10" s="32">
        <f t="shared" si="4"/>
        <v>18874691.369999997</v>
      </c>
      <c r="AJ10" s="32">
        <f t="shared" si="4"/>
        <v>3563</v>
      </c>
      <c r="AK10" s="32">
        <f t="shared" si="4"/>
        <v>14134722</v>
      </c>
      <c r="AL10" s="32">
        <f t="shared" si="4"/>
        <v>136531</v>
      </c>
      <c r="AM10" s="32">
        <f t="shared" si="4"/>
        <v>45205</v>
      </c>
      <c r="AN10" s="32">
        <f t="shared" si="4"/>
        <v>325141</v>
      </c>
      <c r="AO10" s="32">
        <f t="shared" si="4"/>
        <v>530751</v>
      </c>
      <c r="AP10" s="32">
        <f t="shared" si="4"/>
        <v>308596</v>
      </c>
      <c r="AQ10" s="32">
        <f t="shared" si="4"/>
        <v>-32023.5</v>
      </c>
      <c r="AR10" s="32">
        <f t="shared" si="4"/>
        <v>-151015.5</v>
      </c>
      <c r="AS10" s="32">
        <f t="shared" si="4"/>
        <v>-88333</v>
      </c>
      <c r="AT10" s="32">
        <f t="shared" si="4"/>
        <v>4465</v>
      </c>
      <c r="AU10" s="32">
        <f t="shared" si="4"/>
        <v>572440</v>
      </c>
      <c r="AV10" s="32">
        <f t="shared" si="4"/>
        <v>502404</v>
      </c>
      <c r="AW10" s="32">
        <f t="shared" si="4"/>
        <v>238525</v>
      </c>
      <c r="AX10" s="32">
        <f t="shared" si="4"/>
        <v>-26244.5</v>
      </c>
      <c r="AY10" s="32">
        <f t="shared" si="4"/>
        <v>-128251.5</v>
      </c>
      <c r="AZ10" s="32">
        <f t="shared" si="4"/>
        <v>-80131</v>
      </c>
      <c r="BA10" s="32">
        <f t="shared" si="4"/>
        <v>3940</v>
      </c>
      <c r="BB10" s="32">
        <f t="shared" si="4"/>
        <v>510242</v>
      </c>
      <c r="BC10" s="32">
        <f t="shared" si="4"/>
        <v>4646</v>
      </c>
    </row>
    <row r="11" spans="1:55" x14ac:dyDescent="0.25">
      <c r="A11" s="4"/>
      <c r="B11" s="9"/>
      <c r="C11" s="12"/>
      <c r="D11" s="9"/>
      <c r="E11" s="9"/>
      <c r="F11" s="9"/>
      <c r="G11" s="12"/>
      <c r="H11" s="12"/>
      <c r="I11" s="12"/>
      <c r="J11" s="12"/>
      <c r="K11" s="12"/>
      <c r="L11" s="12"/>
      <c r="M11" s="12"/>
      <c r="N11" s="12"/>
      <c r="O11" s="18"/>
      <c r="P11" s="12" t="s">
        <v>0</v>
      </c>
      <c r="Q11" s="20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3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4"/>
    </row>
    <row r="12" spans="1:55" x14ac:dyDescent="0.25">
      <c r="A12" s="7">
        <v>1</v>
      </c>
      <c r="B12" s="7" t="s">
        <v>29</v>
      </c>
      <c r="C12" s="7" t="s">
        <v>56</v>
      </c>
      <c r="D12" s="7" t="s">
        <v>266</v>
      </c>
      <c r="E12" s="17"/>
      <c r="F12" s="17" t="s">
        <v>273</v>
      </c>
      <c r="G12" s="13">
        <v>10078980</v>
      </c>
      <c r="H12" s="13">
        <v>68825</v>
      </c>
      <c r="I12" s="13">
        <v>236810</v>
      </c>
      <c r="J12" s="13">
        <v>5774182</v>
      </c>
      <c r="K12" s="13">
        <v>1612737</v>
      </c>
      <c r="L12" s="13">
        <v>2048058</v>
      </c>
      <c r="M12" s="13">
        <v>101294</v>
      </c>
      <c r="N12" s="13">
        <v>10048674</v>
      </c>
      <c r="O12" s="19">
        <v>0.27</v>
      </c>
      <c r="P12" s="13">
        <v>0</v>
      </c>
      <c r="Q12" s="21">
        <f>429378/10034514</f>
        <v>4.2790114199850633E-2</v>
      </c>
      <c r="R12" s="13">
        <v>422139</v>
      </c>
      <c r="S12" s="13">
        <v>0</v>
      </c>
      <c r="T12" s="13">
        <v>244157</v>
      </c>
      <c r="U12" s="13">
        <v>22931</v>
      </c>
      <c r="V12" s="13">
        <v>54919</v>
      </c>
      <c r="W12" s="13">
        <f>37088+3925</f>
        <v>41013</v>
      </c>
      <c r="X12" s="13">
        <v>969</v>
      </c>
      <c r="Y12" s="13">
        <v>67702</v>
      </c>
      <c r="Z12" s="13">
        <v>1300</v>
      </c>
      <c r="AA12" s="13">
        <f>4325+14650+11505</f>
        <v>30480</v>
      </c>
      <c r="AB12" s="13">
        <v>7156</v>
      </c>
      <c r="AC12" s="13">
        <v>1882</v>
      </c>
      <c r="AD12" s="13">
        <v>23318</v>
      </c>
      <c r="AE12" s="13">
        <v>0</v>
      </c>
      <c r="AF12" s="13">
        <v>519706</v>
      </c>
      <c r="AG12" s="19">
        <f t="shared" ref="AG12:AG43" si="5">AE12/AF12</f>
        <v>0</v>
      </c>
      <c r="AH12" s="13">
        <v>206153</v>
      </c>
      <c r="AI12" s="13">
        <v>72528</v>
      </c>
      <c r="AJ12" s="13">
        <v>0</v>
      </c>
      <c r="AK12" s="13">
        <v>121637</v>
      </c>
      <c r="AL12" s="13">
        <v>0</v>
      </c>
      <c r="AM12" s="13">
        <v>0</v>
      </c>
      <c r="AN12" s="13">
        <v>0</v>
      </c>
      <c r="AO12" s="13">
        <v>3317</v>
      </c>
      <c r="AP12" s="13">
        <v>1323</v>
      </c>
      <c r="AQ12" s="13">
        <v>-143</v>
      </c>
      <c r="AR12" s="13">
        <v>-686</v>
      </c>
      <c r="AS12" s="13">
        <v>-280</v>
      </c>
      <c r="AT12" s="13">
        <v>-3</v>
      </c>
      <c r="AU12" s="13">
        <f t="shared" ref="AU12:AU43" si="6">SUM(AO12:AT12)</f>
        <v>3528</v>
      </c>
      <c r="AV12" s="13" t="s">
        <v>309</v>
      </c>
      <c r="AW12" s="13" t="s">
        <v>309</v>
      </c>
      <c r="AX12" s="13" t="s">
        <v>309</v>
      </c>
      <c r="AY12" s="13" t="s">
        <v>309</v>
      </c>
      <c r="AZ12" s="13" t="s">
        <v>309</v>
      </c>
      <c r="BA12" s="13" t="s">
        <v>309</v>
      </c>
      <c r="BB12" s="13" t="s">
        <v>309</v>
      </c>
      <c r="BC12" s="13">
        <v>69</v>
      </c>
    </row>
    <row r="13" spans="1:55" x14ac:dyDescent="0.25">
      <c r="A13" s="7">
        <v>1</v>
      </c>
      <c r="B13" s="7" t="s">
        <v>60</v>
      </c>
      <c r="C13" s="7" t="s">
        <v>382</v>
      </c>
      <c r="D13" s="7" t="s">
        <v>400</v>
      </c>
      <c r="E13" s="17"/>
      <c r="F13" s="17" t="s">
        <v>399</v>
      </c>
      <c r="G13" s="13">
        <v>1833532</v>
      </c>
      <c r="H13" s="13">
        <v>2106</v>
      </c>
      <c r="I13" s="13">
        <v>66220</v>
      </c>
      <c r="J13" s="13">
        <v>709864</v>
      </c>
      <c r="K13" s="13">
        <v>478404</v>
      </c>
      <c r="L13" s="13">
        <v>341419</v>
      </c>
      <c r="M13" s="13">
        <v>35878</v>
      </c>
      <c r="N13" s="13">
        <v>1744434</v>
      </c>
      <c r="O13" s="19">
        <v>0.11840000000000001</v>
      </c>
      <c r="P13" s="13">
        <v>0</v>
      </c>
      <c r="Q13" s="21">
        <f>143916/1744434</f>
        <v>8.2500111784108765E-2</v>
      </c>
      <c r="R13" s="13">
        <v>143913</v>
      </c>
      <c r="S13" s="13">
        <v>0</v>
      </c>
      <c r="T13" s="13">
        <v>27619</v>
      </c>
      <c r="U13" s="13">
        <v>2534</v>
      </c>
      <c r="V13" s="13">
        <v>4521</v>
      </c>
      <c r="W13" s="13">
        <v>10805</v>
      </c>
      <c r="X13" s="13">
        <v>1630</v>
      </c>
      <c r="Y13" s="13">
        <v>3395</v>
      </c>
      <c r="Z13" s="13">
        <v>0</v>
      </c>
      <c r="AA13" s="13">
        <f>1969+3106+4178</f>
        <v>9253</v>
      </c>
      <c r="AB13" s="13">
        <v>0</v>
      </c>
      <c r="AC13" s="13">
        <v>1427</v>
      </c>
      <c r="AD13" s="13">
        <v>0</v>
      </c>
      <c r="AE13" s="13">
        <v>54874</v>
      </c>
      <c r="AF13" s="13">
        <v>69328</v>
      </c>
      <c r="AG13" s="19">
        <f t="shared" si="5"/>
        <v>0.79151280867759055</v>
      </c>
      <c r="AH13" s="13">
        <v>7159</v>
      </c>
      <c r="AI13" s="13">
        <v>83674</v>
      </c>
      <c r="AJ13" s="13">
        <v>0</v>
      </c>
      <c r="AK13" s="13">
        <v>506</v>
      </c>
      <c r="AL13" s="13">
        <v>0</v>
      </c>
      <c r="AM13" s="13">
        <v>0</v>
      </c>
      <c r="AN13" s="13">
        <v>0</v>
      </c>
      <c r="AO13" s="13">
        <v>342</v>
      </c>
      <c r="AP13" s="13">
        <v>183</v>
      </c>
      <c r="AQ13" s="13">
        <v>-55</v>
      </c>
      <c r="AR13" s="13">
        <v>-72</v>
      </c>
      <c r="AS13" s="13">
        <v>-40</v>
      </c>
      <c r="AT13" s="13">
        <f>11-3</f>
        <v>8</v>
      </c>
      <c r="AU13" s="13">
        <f t="shared" si="6"/>
        <v>366</v>
      </c>
      <c r="AV13" s="13">
        <v>309</v>
      </c>
      <c r="AW13" s="13">
        <v>194</v>
      </c>
      <c r="AX13" s="13">
        <v>-49</v>
      </c>
      <c r="AY13" s="13">
        <v>-68</v>
      </c>
      <c r="AZ13" s="13">
        <v>-51</v>
      </c>
      <c r="BA13" s="13">
        <v>7</v>
      </c>
      <c r="BB13" s="13">
        <f>SUM(AV13:BA13)</f>
        <v>342</v>
      </c>
      <c r="BC13" s="13">
        <v>9</v>
      </c>
    </row>
    <row r="14" spans="1:55" x14ac:dyDescent="0.25">
      <c r="A14" s="7">
        <v>1</v>
      </c>
      <c r="B14" s="7" t="s">
        <v>162</v>
      </c>
      <c r="C14" s="7" t="s">
        <v>68</v>
      </c>
      <c r="D14" s="7" t="s">
        <v>280</v>
      </c>
      <c r="E14" s="17"/>
      <c r="F14" s="17" t="s">
        <v>270</v>
      </c>
      <c r="G14" s="13">
        <v>3571534</v>
      </c>
      <c r="H14" s="13">
        <v>14435</v>
      </c>
      <c r="I14" s="13">
        <v>209632</v>
      </c>
      <c r="J14" s="13">
        <v>1853184</v>
      </c>
      <c r="K14" s="13">
        <v>335806</v>
      </c>
      <c r="L14" s="13">
        <v>831783</v>
      </c>
      <c r="M14" s="13">
        <v>183113</v>
      </c>
      <c r="N14" s="13">
        <v>3497750</v>
      </c>
      <c r="O14" s="19">
        <v>0.19</v>
      </c>
      <c r="P14" s="13">
        <v>0</v>
      </c>
      <c r="Q14" s="21">
        <f>230472/3490989</f>
        <v>6.6019113781223604E-2</v>
      </c>
      <c r="R14" s="13">
        <v>230010</v>
      </c>
      <c r="S14" s="13">
        <v>0</v>
      </c>
      <c r="T14" s="13">
        <v>55884</v>
      </c>
      <c r="U14" s="13">
        <v>4942</v>
      </c>
      <c r="V14" s="13">
        <v>7487</v>
      </c>
      <c r="W14" s="13">
        <f>9045+1862</f>
        <v>10907</v>
      </c>
      <c r="X14" s="13">
        <v>0</v>
      </c>
      <c r="Y14" s="13">
        <v>3324</v>
      </c>
      <c r="Z14" s="13">
        <v>4255</v>
      </c>
      <c r="AA14" s="13">
        <f>6907+6408+4476</f>
        <v>17791</v>
      </c>
      <c r="AB14" s="13">
        <v>2737</v>
      </c>
      <c r="AC14" s="13">
        <v>1561</v>
      </c>
      <c r="AD14" s="13">
        <v>3180</v>
      </c>
      <c r="AE14" s="13">
        <v>0</v>
      </c>
      <c r="AF14" s="13">
        <v>135241</v>
      </c>
      <c r="AG14" s="19">
        <f t="shared" si="5"/>
        <v>0</v>
      </c>
      <c r="AH14" s="13">
        <v>26306</v>
      </c>
      <c r="AI14" s="13">
        <v>124333</v>
      </c>
      <c r="AJ14" s="13">
        <v>0</v>
      </c>
      <c r="AK14" s="13">
        <v>11896</v>
      </c>
      <c r="AL14" s="13">
        <v>0</v>
      </c>
      <c r="AM14" s="13">
        <v>0</v>
      </c>
      <c r="AN14" s="13">
        <v>0</v>
      </c>
      <c r="AO14" s="13">
        <v>817</v>
      </c>
      <c r="AP14" s="13">
        <v>330</v>
      </c>
      <c r="AQ14" s="13">
        <v>-69</v>
      </c>
      <c r="AR14" s="13">
        <v>-95</v>
      </c>
      <c r="AS14" s="13">
        <v>-183</v>
      </c>
      <c r="AT14" s="13">
        <v>9</v>
      </c>
      <c r="AU14" s="13">
        <f t="shared" si="6"/>
        <v>809</v>
      </c>
      <c r="AV14" s="13">
        <v>892</v>
      </c>
      <c r="AW14" s="13">
        <v>260</v>
      </c>
      <c r="AX14" s="13">
        <v>-86</v>
      </c>
      <c r="AY14" s="13">
        <v>-100</v>
      </c>
      <c r="AZ14" s="13">
        <v>-153</v>
      </c>
      <c r="BA14" s="13">
        <v>4</v>
      </c>
      <c r="BB14" s="13">
        <f>SUM(AV14:BA14)</f>
        <v>817</v>
      </c>
      <c r="BC14" s="13">
        <v>3</v>
      </c>
    </row>
    <row r="15" spans="1:55" x14ac:dyDescent="0.25">
      <c r="A15" s="7">
        <v>1</v>
      </c>
      <c r="B15" s="7" t="s">
        <v>360</v>
      </c>
      <c r="C15" s="7" t="s">
        <v>526</v>
      </c>
      <c r="D15" s="7" t="s">
        <v>266</v>
      </c>
      <c r="E15" s="17"/>
      <c r="F15" s="17" t="s">
        <v>273</v>
      </c>
      <c r="G15" s="13">
        <f>1735980+2547550</f>
        <v>4283530</v>
      </c>
      <c r="H15" s="13">
        <f>7472+19890</f>
        <v>27362</v>
      </c>
      <c r="I15" s="13">
        <f>112409+275359</f>
        <v>387768</v>
      </c>
      <c r="J15" s="13">
        <f>736382+1231771</f>
        <v>1968153</v>
      </c>
      <c r="K15" s="13">
        <f>241854+377247</f>
        <v>619101</v>
      </c>
      <c r="L15" s="13">
        <f>351603+531831</f>
        <v>883434</v>
      </c>
      <c r="M15" s="13">
        <f>39474+74846</f>
        <v>114320</v>
      </c>
      <c r="N15" s="13">
        <f>1447501+2485199</f>
        <v>3932700</v>
      </c>
      <c r="O15" s="19">
        <f>1068989/G15</f>
        <v>0.24955795803928069</v>
      </c>
      <c r="P15" s="13">
        <v>0</v>
      </c>
      <c r="Q15" s="21">
        <f>66769/1438872</f>
        <v>4.6403710684480619E-2</v>
      </c>
      <c r="R15" s="13">
        <v>63300</v>
      </c>
      <c r="S15" s="13">
        <v>0</v>
      </c>
      <c r="T15" s="13">
        <f>36915+111988</f>
        <v>148903</v>
      </c>
      <c r="U15" s="13">
        <f>3717+7168</f>
        <v>10885</v>
      </c>
      <c r="V15" s="13">
        <f>3316+3788</f>
        <v>7104</v>
      </c>
      <c r="W15" s="13">
        <f>5097+12799</f>
        <v>17896</v>
      </c>
      <c r="X15" s="13">
        <f>305+263</f>
        <v>568</v>
      </c>
      <c r="Y15" s="13">
        <f>16031+39137</f>
        <v>55168</v>
      </c>
      <c r="Z15" s="13">
        <v>11318</v>
      </c>
      <c r="AA15" s="13">
        <f>1833+2704+2116+4861+2753+6738</f>
        <v>21005</v>
      </c>
      <c r="AB15" s="13">
        <f>782+1391</f>
        <v>2173</v>
      </c>
      <c r="AC15" s="13">
        <f>589+1736</f>
        <v>2325</v>
      </c>
      <c r="AD15" s="13">
        <f>8668+28114</f>
        <v>36782</v>
      </c>
      <c r="AE15" s="13">
        <v>0</v>
      </c>
      <c r="AF15" s="13">
        <f>105676+242202</f>
        <v>347878</v>
      </c>
      <c r="AG15" s="19">
        <f t="shared" si="5"/>
        <v>0</v>
      </c>
      <c r="AH15" s="13">
        <v>69618</v>
      </c>
      <c r="AI15" s="13">
        <v>41444</v>
      </c>
      <c r="AJ15" s="13">
        <v>0</v>
      </c>
      <c r="AK15" s="13">
        <v>44848</v>
      </c>
      <c r="AL15" s="13">
        <v>0</v>
      </c>
      <c r="AM15" s="13">
        <v>0</v>
      </c>
      <c r="AN15" s="13">
        <v>0</v>
      </c>
      <c r="AO15" s="13">
        <v>690</v>
      </c>
      <c r="AP15" s="13">
        <f>396+570</f>
        <v>966</v>
      </c>
      <c r="AQ15" s="13">
        <f>-74-110</f>
        <v>-184</v>
      </c>
      <c r="AR15" s="13">
        <f>-209-348</f>
        <v>-557</v>
      </c>
      <c r="AS15" s="13">
        <f>-13-19</f>
        <v>-32</v>
      </c>
      <c r="AT15" s="13">
        <f>522+54-1</f>
        <v>575</v>
      </c>
      <c r="AU15" s="13">
        <f t="shared" si="6"/>
        <v>1458</v>
      </c>
      <c r="AV15" s="13" t="s">
        <v>309</v>
      </c>
      <c r="AW15" s="13" t="s">
        <v>309</v>
      </c>
      <c r="AX15" s="13" t="s">
        <v>309</v>
      </c>
      <c r="AY15" s="13" t="s">
        <v>309</v>
      </c>
      <c r="AZ15" s="13" t="s">
        <v>309</v>
      </c>
      <c r="BA15" s="13" t="s">
        <v>309</v>
      </c>
      <c r="BB15" s="13" t="s">
        <v>309</v>
      </c>
      <c r="BC15" s="13">
        <v>0</v>
      </c>
    </row>
    <row r="16" spans="1:55" x14ac:dyDescent="0.25">
      <c r="A16" s="7">
        <v>1</v>
      </c>
      <c r="B16" s="7" t="s">
        <v>465</v>
      </c>
      <c r="C16" s="7" t="s">
        <v>22</v>
      </c>
      <c r="D16" s="7" t="s">
        <v>324</v>
      </c>
      <c r="E16" s="17"/>
      <c r="F16" s="17" t="s">
        <v>318</v>
      </c>
      <c r="G16" s="13">
        <v>2333816</v>
      </c>
      <c r="H16" s="13">
        <v>2295</v>
      </c>
      <c r="I16" s="13">
        <v>196502</v>
      </c>
      <c r="J16" s="13">
        <v>888343</v>
      </c>
      <c r="K16" s="13">
        <v>559241</v>
      </c>
      <c r="L16" s="13">
        <v>467580</v>
      </c>
      <c r="M16" s="13">
        <v>43533</v>
      </c>
      <c r="N16" s="13">
        <v>2139671</v>
      </c>
      <c r="O16" s="19">
        <v>0.11</v>
      </c>
      <c r="P16" s="13">
        <v>223578</v>
      </c>
      <c r="Q16" s="21">
        <f>184739/1912463</f>
        <v>9.6597424368471449E-2</v>
      </c>
      <c r="R16" s="13">
        <v>175994</v>
      </c>
      <c r="S16" s="13">
        <v>0</v>
      </c>
      <c r="T16" s="13">
        <v>37729</v>
      </c>
      <c r="U16" s="13">
        <v>3329</v>
      </c>
      <c r="V16" s="13">
        <v>5921</v>
      </c>
      <c r="W16" s="13">
        <f>7524+555</f>
        <v>8079</v>
      </c>
      <c r="X16" s="13">
        <v>0</v>
      </c>
      <c r="Y16" s="13">
        <v>10544</v>
      </c>
      <c r="Z16" s="13">
        <v>0</v>
      </c>
      <c r="AA16" s="13">
        <f>1364+6250+2225</f>
        <v>9839</v>
      </c>
      <c r="AB16" s="13">
        <v>2058</v>
      </c>
      <c r="AC16" s="13">
        <v>0</v>
      </c>
      <c r="AD16" s="13">
        <v>2308</v>
      </c>
      <c r="AE16" s="13">
        <v>10141</v>
      </c>
      <c r="AF16" s="13">
        <v>91859</v>
      </c>
      <c r="AG16" s="19">
        <f t="shared" si="5"/>
        <v>0.11039745697209855</v>
      </c>
      <c r="AH16" s="13">
        <v>11299</v>
      </c>
      <c r="AI16" s="13">
        <v>92500</v>
      </c>
      <c r="AJ16" s="13">
        <v>0</v>
      </c>
      <c r="AK16" s="13">
        <v>8583</v>
      </c>
      <c r="AL16" s="13">
        <v>0</v>
      </c>
      <c r="AM16" s="13">
        <v>0</v>
      </c>
      <c r="AN16" s="13">
        <v>0</v>
      </c>
      <c r="AO16" s="13">
        <v>595</v>
      </c>
      <c r="AP16" s="13">
        <v>249</v>
      </c>
      <c r="AQ16" s="13">
        <v>-73</v>
      </c>
      <c r="AR16" s="13">
        <v>-127</v>
      </c>
      <c r="AS16" s="13">
        <v>-88</v>
      </c>
      <c r="AT16" s="13">
        <v>0</v>
      </c>
      <c r="AU16" s="13">
        <f t="shared" si="6"/>
        <v>556</v>
      </c>
      <c r="AV16" s="13">
        <v>605</v>
      </c>
      <c r="AW16" s="13">
        <v>239</v>
      </c>
      <c r="AX16" s="13">
        <v>-74</v>
      </c>
      <c r="AY16" s="13">
        <v>-93</v>
      </c>
      <c r="AZ16" s="13">
        <v>-82</v>
      </c>
      <c r="BA16" s="13">
        <v>0</v>
      </c>
      <c r="BB16" s="13">
        <f>SUM(AV16:BA16)</f>
        <v>595</v>
      </c>
      <c r="BC16" s="13">
        <v>0</v>
      </c>
    </row>
    <row r="17" spans="1:55" x14ac:dyDescent="0.25">
      <c r="A17" s="7">
        <v>1</v>
      </c>
      <c r="B17" s="7" t="s">
        <v>492</v>
      </c>
      <c r="C17" s="7" t="s">
        <v>526</v>
      </c>
      <c r="D17" s="7" t="s">
        <v>266</v>
      </c>
      <c r="E17" s="7"/>
      <c r="F17" s="17" t="s">
        <v>273</v>
      </c>
      <c r="G17" s="13">
        <v>2547550</v>
      </c>
      <c r="H17" s="13">
        <v>19890</v>
      </c>
      <c r="I17" s="13">
        <v>275359</v>
      </c>
      <c r="J17" s="13">
        <v>1231771</v>
      </c>
      <c r="K17" s="13">
        <v>377247</v>
      </c>
      <c r="L17" s="13">
        <v>531831</v>
      </c>
      <c r="M17" s="13">
        <v>74846</v>
      </c>
      <c r="N17" s="13">
        <v>2485199</v>
      </c>
      <c r="O17" s="19">
        <f>892919/2547550</f>
        <v>0.35050106965515887</v>
      </c>
      <c r="P17" s="13">
        <v>0</v>
      </c>
      <c r="Q17" s="19">
        <f>246375/2463754</f>
        <v>9.9999837646128631E-2</v>
      </c>
      <c r="R17" s="13">
        <v>242920</v>
      </c>
      <c r="S17" s="13">
        <v>69618</v>
      </c>
      <c r="T17" s="13">
        <v>111988</v>
      </c>
      <c r="U17" s="13">
        <v>7168</v>
      </c>
      <c r="V17" s="13">
        <v>3788</v>
      </c>
      <c r="W17" s="13">
        <v>12799</v>
      </c>
      <c r="X17" s="13">
        <v>263</v>
      </c>
      <c r="Y17" s="13">
        <v>39137</v>
      </c>
      <c r="Z17" s="13">
        <v>0</v>
      </c>
      <c r="AA17" s="13">
        <f>2704+4861+6738</f>
        <v>14303</v>
      </c>
      <c r="AB17" s="13">
        <v>1391</v>
      </c>
      <c r="AC17" s="13">
        <v>1736</v>
      </c>
      <c r="AD17" s="13">
        <v>28114</v>
      </c>
      <c r="AE17" s="13">
        <v>0</v>
      </c>
      <c r="AF17" s="13">
        <v>242202</v>
      </c>
      <c r="AG17" s="19">
        <f t="shared" si="5"/>
        <v>0</v>
      </c>
      <c r="AH17" s="13">
        <v>69618</v>
      </c>
      <c r="AI17" s="13">
        <v>0</v>
      </c>
      <c r="AJ17" s="13">
        <v>0</v>
      </c>
      <c r="AK17" s="13">
        <v>112318</v>
      </c>
      <c r="AL17" s="13" t="s">
        <v>309</v>
      </c>
      <c r="AM17" s="13">
        <v>0</v>
      </c>
      <c r="AN17" s="13">
        <v>0</v>
      </c>
      <c r="AO17" s="13">
        <v>690</v>
      </c>
      <c r="AP17" s="13">
        <v>570</v>
      </c>
      <c r="AQ17" s="13">
        <v>-110</v>
      </c>
      <c r="AR17" s="13">
        <v>-348</v>
      </c>
      <c r="AS17" s="13">
        <v>-19</v>
      </c>
      <c r="AT17" s="13">
        <v>522</v>
      </c>
      <c r="AU17" s="13">
        <f t="shared" si="6"/>
        <v>1305</v>
      </c>
      <c r="AV17" s="13">
        <v>891</v>
      </c>
      <c r="AW17" s="13">
        <v>0</v>
      </c>
      <c r="AX17" s="13">
        <v>-59</v>
      </c>
      <c r="AY17" s="13">
        <v>-171</v>
      </c>
      <c r="AZ17" s="13">
        <v>-3</v>
      </c>
      <c r="BA17" s="13">
        <v>46</v>
      </c>
      <c r="BB17" s="13">
        <f>SUM(AV17:BA17)</f>
        <v>704</v>
      </c>
      <c r="BC17" s="13">
        <v>0</v>
      </c>
    </row>
    <row r="18" spans="1:55" x14ac:dyDescent="0.25">
      <c r="A18" s="7">
        <v>1</v>
      </c>
      <c r="B18" s="7" t="s">
        <v>493</v>
      </c>
      <c r="C18" s="7" t="s">
        <v>56</v>
      </c>
      <c r="D18" s="7" t="s">
        <v>266</v>
      </c>
      <c r="E18" s="7"/>
      <c r="F18" s="17" t="s">
        <v>273</v>
      </c>
      <c r="G18" s="13">
        <v>6992749</v>
      </c>
      <c r="H18" s="13">
        <v>56940</v>
      </c>
      <c r="I18" s="13">
        <v>421478</v>
      </c>
      <c r="J18" s="13">
        <v>3196968</v>
      </c>
      <c r="K18" s="13">
        <v>958700</v>
      </c>
      <c r="L18" s="13">
        <v>1214746</v>
      </c>
      <c r="M18" s="13">
        <v>62607</v>
      </c>
      <c r="N18" s="13">
        <v>5898692</v>
      </c>
      <c r="O18" s="19">
        <v>0.41760000000000003</v>
      </c>
      <c r="P18" s="13">
        <v>0</v>
      </c>
      <c r="Q18" s="19">
        <f>444872/5883110</f>
        <v>7.5618507898033524E-2</v>
      </c>
      <c r="R18" s="13">
        <v>442735</v>
      </c>
      <c r="S18" s="13">
        <v>0</v>
      </c>
      <c r="T18" s="13">
        <v>262751</v>
      </c>
      <c r="U18" s="13">
        <v>24411</v>
      </c>
      <c r="V18" s="13">
        <v>43636</v>
      </c>
      <c r="W18" s="13">
        <f>30475+2820</f>
        <v>33295</v>
      </c>
      <c r="X18" s="13">
        <v>996</v>
      </c>
      <c r="Y18" s="13">
        <v>47887</v>
      </c>
      <c r="Z18" s="13">
        <v>0</v>
      </c>
      <c r="AA18" s="13">
        <f>3822+3969+5351</f>
        <v>13142</v>
      </c>
      <c r="AB18" s="13">
        <v>1902</v>
      </c>
      <c r="AC18" s="13">
        <v>2646</v>
      </c>
      <c r="AD18" s="13">
        <v>6610</v>
      </c>
      <c r="AE18" s="13">
        <v>0</v>
      </c>
      <c r="AF18" s="13">
        <v>461332</v>
      </c>
      <c r="AG18" s="19">
        <f t="shared" si="5"/>
        <v>0</v>
      </c>
      <c r="AH18" s="13">
        <v>151389</v>
      </c>
      <c r="AI18" s="13">
        <v>0</v>
      </c>
      <c r="AJ18" s="13">
        <v>0</v>
      </c>
      <c r="AK18" s="13">
        <v>206153</v>
      </c>
      <c r="AL18" s="13" t="s">
        <v>309</v>
      </c>
      <c r="AM18" s="13">
        <v>0</v>
      </c>
      <c r="AN18" s="13">
        <v>0</v>
      </c>
      <c r="AO18" s="13">
        <v>3502</v>
      </c>
      <c r="AP18" s="13">
        <v>775</v>
      </c>
      <c r="AQ18" s="13">
        <v>-139</v>
      </c>
      <c r="AR18" s="13">
        <v>-604</v>
      </c>
      <c r="AS18" s="13">
        <v>-164</v>
      </c>
      <c r="AT18" s="13">
        <f>329-375-7</f>
        <v>-53</v>
      </c>
      <c r="AU18" s="13">
        <f t="shared" si="6"/>
        <v>3317</v>
      </c>
      <c r="AV18" s="13" t="s">
        <v>309</v>
      </c>
      <c r="AW18" s="13" t="s">
        <v>309</v>
      </c>
      <c r="AX18" s="13" t="s">
        <v>309</v>
      </c>
      <c r="AY18" s="13" t="s">
        <v>309</v>
      </c>
      <c r="AZ18" s="13" t="s">
        <v>309</v>
      </c>
      <c r="BA18" s="13" t="s">
        <v>309</v>
      </c>
      <c r="BB18" s="13" t="s">
        <v>309</v>
      </c>
      <c r="BC18" s="13">
        <v>59</v>
      </c>
    </row>
    <row r="19" spans="1:55" x14ac:dyDescent="0.25">
      <c r="A19" s="7">
        <v>2</v>
      </c>
      <c r="B19" s="7" t="s">
        <v>79</v>
      </c>
      <c r="C19" s="7" t="s">
        <v>17</v>
      </c>
      <c r="D19" s="7" t="s">
        <v>338</v>
      </c>
      <c r="E19" s="17" t="s">
        <v>331</v>
      </c>
      <c r="F19" s="17" t="s">
        <v>322</v>
      </c>
      <c r="G19" s="13">
        <v>12212550</v>
      </c>
      <c r="H19" s="13">
        <v>80245</v>
      </c>
      <c r="I19" s="13">
        <v>517101</v>
      </c>
      <c r="J19" s="13">
        <v>4054788</v>
      </c>
      <c r="K19" s="13">
        <v>1293299</v>
      </c>
      <c r="L19" s="13">
        <v>3393574</v>
      </c>
      <c r="M19" s="13">
        <v>1145054</v>
      </c>
      <c r="N19" s="13">
        <v>10394963</v>
      </c>
      <c r="O19" s="19">
        <v>0.1</v>
      </c>
      <c r="P19" s="13">
        <v>18262</v>
      </c>
      <c r="Q19" s="21">
        <f>505032/10374661</f>
        <v>4.8679373716403844E-2</v>
      </c>
      <c r="R19" s="13">
        <v>505887</v>
      </c>
      <c r="S19" s="13">
        <v>0</v>
      </c>
      <c r="T19" s="13">
        <v>214693</v>
      </c>
      <c r="U19" s="13">
        <v>24131</v>
      </c>
      <c r="V19" s="13">
        <v>33825</v>
      </c>
      <c r="W19" s="13">
        <f>44226+4444</f>
        <v>48670</v>
      </c>
      <c r="X19" s="13">
        <v>18011</v>
      </c>
      <c r="Y19" s="13">
        <v>0</v>
      </c>
      <c r="Z19" s="13">
        <v>1000</v>
      </c>
      <c r="AA19" s="13">
        <f>9596+9867+24143</f>
        <v>43606</v>
      </c>
      <c r="AB19" s="13">
        <v>9424</v>
      </c>
      <c r="AC19" s="13">
        <v>1480</v>
      </c>
      <c r="AD19" s="13">
        <v>3900</v>
      </c>
      <c r="AE19" s="13">
        <v>0</v>
      </c>
      <c r="AF19" s="13">
        <v>454025</v>
      </c>
      <c r="AG19" s="19">
        <f t="shared" si="5"/>
        <v>0</v>
      </c>
      <c r="AH19" s="13">
        <v>51080</v>
      </c>
      <c r="AI19" s="13">
        <v>124333</v>
      </c>
      <c r="AJ19" s="13">
        <v>0</v>
      </c>
      <c r="AK19" s="13">
        <v>61319</v>
      </c>
      <c r="AL19" s="13">
        <v>0</v>
      </c>
      <c r="AM19" s="13">
        <v>0</v>
      </c>
      <c r="AN19" s="13">
        <v>0</v>
      </c>
      <c r="AO19" s="13">
        <v>3382</v>
      </c>
      <c r="AP19" s="13">
        <v>1379</v>
      </c>
      <c r="AQ19" s="13">
        <v>-225</v>
      </c>
      <c r="AR19" s="13">
        <v>-446</v>
      </c>
      <c r="AS19" s="13">
        <v>-481</v>
      </c>
      <c r="AT19" s="13">
        <v>-5</v>
      </c>
      <c r="AU19" s="13">
        <f t="shared" si="6"/>
        <v>3604</v>
      </c>
      <c r="AV19" s="13">
        <v>3049</v>
      </c>
      <c r="AW19" s="13">
        <v>420</v>
      </c>
      <c r="AX19" s="13">
        <v>-65</v>
      </c>
      <c r="AY19" s="13">
        <v>-189</v>
      </c>
      <c r="AZ19" s="13">
        <v>-152</v>
      </c>
      <c r="BA19" s="13">
        <f>-4+323</f>
        <v>319</v>
      </c>
      <c r="BB19" s="13">
        <f t="shared" ref="BB19:BB50" si="7">SUM(AV19:BA19)</f>
        <v>3382</v>
      </c>
      <c r="BC19" s="13">
        <v>71</v>
      </c>
    </row>
    <row r="20" spans="1:55" x14ac:dyDescent="0.25">
      <c r="A20" s="7">
        <v>2</v>
      </c>
      <c r="B20" s="7" t="s">
        <v>129</v>
      </c>
      <c r="C20" s="7" t="s">
        <v>202</v>
      </c>
      <c r="D20" s="7" t="s">
        <v>338</v>
      </c>
      <c r="E20" s="17" t="s">
        <v>143</v>
      </c>
      <c r="F20" s="17" t="s">
        <v>322</v>
      </c>
      <c r="G20" s="13">
        <v>9874332</v>
      </c>
      <c r="H20" s="13">
        <v>17500</v>
      </c>
      <c r="I20" s="13">
        <v>1369529</v>
      </c>
      <c r="J20" s="13">
        <v>5672820</v>
      </c>
      <c r="K20" s="13">
        <v>631526</v>
      </c>
      <c r="L20" s="13">
        <v>1697055</v>
      </c>
      <c r="M20" s="13">
        <v>122530</v>
      </c>
      <c r="N20" s="13">
        <v>8744536</v>
      </c>
      <c r="O20" s="19">
        <v>0.16</v>
      </c>
      <c r="P20" s="13">
        <v>0</v>
      </c>
      <c r="Q20" s="21">
        <f>586713/8703581</f>
        <v>6.7410529068437461E-2</v>
      </c>
      <c r="R20" s="13">
        <v>579599</v>
      </c>
      <c r="S20" s="13">
        <v>0</v>
      </c>
      <c r="T20" s="13">
        <v>257946</v>
      </c>
      <c r="U20" s="13">
        <v>23737</v>
      </c>
      <c r="V20" s="13">
        <v>40454</v>
      </c>
      <c r="W20" s="13">
        <f>52704+4760</f>
        <v>57464</v>
      </c>
      <c r="X20" s="13">
        <v>15871</v>
      </c>
      <c r="Y20" s="13">
        <v>82482</v>
      </c>
      <c r="Z20" s="13">
        <v>0</v>
      </c>
      <c r="AA20" s="13">
        <f>7902+9237+7795</f>
        <v>24934</v>
      </c>
      <c r="AB20" s="13">
        <v>5914</v>
      </c>
      <c r="AC20" s="13">
        <v>5442</v>
      </c>
      <c r="AD20" s="13">
        <v>189</v>
      </c>
      <c r="AE20" s="13">
        <v>10582</v>
      </c>
      <c r="AF20" s="13">
        <v>533949</v>
      </c>
      <c r="AG20" s="19">
        <f t="shared" si="5"/>
        <v>1.9818372166630148E-2</v>
      </c>
      <c r="AH20" s="13">
        <v>87170</v>
      </c>
      <c r="AI20" s="13">
        <v>124333</v>
      </c>
      <c r="AJ20" s="13">
        <v>0</v>
      </c>
      <c r="AK20" s="13">
        <v>68922</v>
      </c>
      <c r="AL20" s="13">
        <v>0</v>
      </c>
      <c r="AM20" s="13">
        <v>0</v>
      </c>
      <c r="AN20" s="13">
        <v>0</v>
      </c>
      <c r="AO20" s="13">
        <v>2202</v>
      </c>
      <c r="AP20" s="13">
        <v>2047</v>
      </c>
      <c r="AQ20" s="13">
        <v>-78</v>
      </c>
      <c r="AR20" s="13">
        <v>-1764</v>
      </c>
      <c r="AS20" s="13">
        <v>-804</v>
      </c>
      <c r="AT20" s="13">
        <v>-12</v>
      </c>
      <c r="AU20" s="13">
        <f t="shared" si="6"/>
        <v>1591</v>
      </c>
      <c r="AV20" s="13">
        <v>2004</v>
      </c>
      <c r="AW20" s="13">
        <v>2177</v>
      </c>
      <c r="AX20" s="13">
        <v>-80</v>
      </c>
      <c r="AY20" s="13">
        <v>-1591</v>
      </c>
      <c r="AZ20" s="13">
        <v>-305</v>
      </c>
      <c r="BA20" s="13">
        <v>-3</v>
      </c>
      <c r="BB20" s="13">
        <f t="shared" si="7"/>
        <v>2202</v>
      </c>
      <c r="BC20" s="13">
        <v>3</v>
      </c>
    </row>
    <row r="21" spans="1:55" x14ac:dyDescent="0.25">
      <c r="A21" s="7">
        <v>2</v>
      </c>
      <c r="B21" s="7" t="s">
        <v>182</v>
      </c>
      <c r="C21" s="7" t="s">
        <v>180</v>
      </c>
      <c r="D21" s="7" t="s">
        <v>338</v>
      </c>
      <c r="E21" s="17" t="s">
        <v>143</v>
      </c>
      <c r="F21" s="17" t="s">
        <v>322</v>
      </c>
      <c r="G21" s="13">
        <v>8045184</v>
      </c>
      <c r="H21" s="13">
        <v>18715</v>
      </c>
      <c r="I21" s="13">
        <v>1467840</v>
      </c>
      <c r="J21" s="13">
        <v>4227168</v>
      </c>
      <c r="K21" s="13">
        <v>283765</v>
      </c>
      <c r="L21" s="13">
        <v>1621267</v>
      </c>
      <c r="M21" s="13">
        <v>194976</v>
      </c>
      <c r="N21" s="13">
        <v>6793797</v>
      </c>
      <c r="O21" s="19">
        <v>0.15</v>
      </c>
      <c r="P21" s="13">
        <v>191831</v>
      </c>
      <c r="Q21" s="21">
        <f>412141/6534651</f>
        <v>6.3070085915835447E-2</v>
      </c>
      <c r="R21" s="13">
        <v>410523</v>
      </c>
      <c r="S21" s="13">
        <v>0</v>
      </c>
      <c r="T21" s="13">
        <v>177106</v>
      </c>
      <c r="U21" s="13">
        <v>10908</v>
      </c>
      <c r="V21" s="13">
        <v>24134</v>
      </c>
      <c r="W21" s="13">
        <v>37750</v>
      </c>
      <c r="X21" s="13">
        <v>12800</v>
      </c>
      <c r="Y21" s="13">
        <v>35442</v>
      </c>
      <c r="Z21" s="13">
        <v>6994</v>
      </c>
      <c r="AA21" s="13">
        <f>7065+13259+8967</f>
        <v>29291</v>
      </c>
      <c r="AB21" s="13">
        <v>8296</v>
      </c>
      <c r="AC21" s="13">
        <v>1266</v>
      </c>
      <c r="AD21" s="13">
        <v>8820</v>
      </c>
      <c r="AE21" s="13">
        <v>44265</v>
      </c>
      <c r="AF21" s="13">
        <v>377574</v>
      </c>
      <c r="AG21" s="19">
        <f t="shared" si="5"/>
        <v>0.11723529692192788</v>
      </c>
      <c r="AH21" s="13">
        <v>41140</v>
      </c>
      <c r="AI21" s="13">
        <v>124333</v>
      </c>
      <c r="AJ21" s="13">
        <v>0</v>
      </c>
      <c r="AK21" s="13">
        <v>22461</v>
      </c>
      <c r="AL21" s="13">
        <v>0</v>
      </c>
      <c r="AM21" s="13">
        <v>0</v>
      </c>
      <c r="AN21" s="13">
        <v>0</v>
      </c>
      <c r="AO21" s="13">
        <v>2351</v>
      </c>
      <c r="AP21" s="13">
        <v>1545</v>
      </c>
      <c r="AQ21" s="13">
        <v>-123</v>
      </c>
      <c r="AR21" s="13">
        <v>-1522</v>
      </c>
      <c r="AS21" s="13">
        <v>-284</v>
      </c>
      <c r="AT21" s="13">
        <f>1+13</f>
        <v>14</v>
      </c>
      <c r="AU21" s="13">
        <f t="shared" si="6"/>
        <v>1981</v>
      </c>
      <c r="AV21" s="13">
        <v>1942</v>
      </c>
      <c r="AW21" s="13">
        <v>1399</v>
      </c>
      <c r="AX21" s="13">
        <v>-81</v>
      </c>
      <c r="AY21" s="13">
        <v>-836</v>
      </c>
      <c r="AZ21" s="13">
        <v>-83</v>
      </c>
      <c r="BA21" s="13">
        <f>3+9-2</f>
        <v>10</v>
      </c>
      <c r="BB21" s="13">
        <f t="shared" si="7"/>
        <v>2351</v>
      </c>
      <c r="BC21" s="13">
        <v>7</v>
      </c>
    </row>
    <row r="22" spans="1:55" x14ac:dyDescent="0.25">
      <c r="A22" s="7">
        <v>2</v>
      </c>
      <c r="B22" s="7" t="s">
        <v>267</v>
      </c>
      <c r="C22" s="7" t="s">
        <v>210</v>
      </c>
      <c r="D22" s="7" t="s">
        <v>338</v>
      </c>
      <c r="E22" s="17" t="s">
        <v>143</v>
      </c>
      <c r="F22" s="17" t="s">
        <v>322</v>
      </c>
      <c r="G22" s="13">
        <v>10152492</v>
      </c>
      <c r="H22" s="13">
        <v>47094</v>
      </c>
      <c r="I22" s="13">
        <v>1602326</v>
      </c>
      <c r="J22" s="13">
        <v>6229582</v>
      </c>
      <c r="K22" s="13">
        <v>436418</v>
      </c>
      <c r="L22" s="13">
        <v>1743718</v>
      </c>
      <c r="M22" s="13">
        <v>154900</v>
      </c>
      <c r="N22" s="13">
        <v>9107375</v>
      </c>
      <c r="O22" s="19">
        <v>0.11</v>
      </c>
      <c r="P22" s="13">
        <v>0</v>
      </c>
      <c r="Q22" s="21">
        <f>517610/9080875</f>
        <v>5.7000013765193334E-2</v>
      </c>
      <c r="R22" s="13">
        <v>516235</v>
      </c>
      <c r="S22" s="13">
        <v>0</v>
      </c>
      <c r="T22" s="13">
        <v>209019</v>
      </c>
      <c r="U22" s="13">
        <v>19282</v>
      </c>
      <c r="V22" s="13">
        <v>36356</v>
      </c>
      <c r="W22" s="13">
        <v>50400</v>
      </c>
      <c r="X22" s="13">
        <v>15789</v>
      </c>
      <c r="Y22" s="13">
        <v>49437</v>
      </c>
      <c r="Z22" s="13">
        <v>325</v>
      </c>
      <c r="AA22" s="13">
        <f>13190+13940+12374</f>
        <v>39504</v>
      </c>
      <c r="AB22" s="13">
        <v>7922</v>
      </c>
      <c r="AC22" s="13">
        <v>0</v>
      </c>
      <c r="AD22" s="13">
        <v>8835</v>
      </c>
      <c r="AE22" s="13">
        <v>373746</v>
      </c>
      <c r="AF22" s="13">
        <v>469488</v>
      </c>
      <c r="AG22" s="19">
        <f t="shared" si="5"/>
        <v>0.79607146508536963</v>
      </c>
      <c r="AH22" s="13">
        <v>50574</v>
      </c>
      <c r="AI22" s="13">
        <v>124333</v>
      </c>
      <c r="AJ22" s="13">
        <v>0</v>
      </c>
      <c r="AK22" s="13">
        <v>47598</v>
      </c>
      <c r="AL22" s="13">
        <v>0</v>
      </c>
      <c r="AM22" s="13">
        <v>0</v>
      </c>
      <c r="AN22" s="13">
        <v>0</v>
      </c>
      <c r="AO22" s="13">
        <v>2339</v>
      </c>
      <c r="AP22" s="13">
        <v>1810</v>
      </c>
      <c r="AQ22" s="13">
        <v>-55</v>
      </c>
      <c r="AR22" s="13">
        <v>-2308</v>
      </c>
      <c r="AS22" s="13">
        <v>-160</v>
      </c>
      <c r="AT22" s="13">
        <v>-4</v>
      </c>
      <c r="AU22" s="13">
        <f t="shared" si="6"/>
        <v>1622</v>
      </c>
      <c r="AV22" s="13">
        <v>2378</v>
      </c>
      <c r="AW22" s="13">
        <v>2149</v>
      </c>
      <c r="AX22" s="13">
        <v>-57</v>
      </c>
      <c r="AY22" s="13">
        <v>-1987</v>
      </c>
      <c r="AZ22" s="13">
        <v>-142</v>
      </c>
      <c r="BA22" s="13">
        <v>-2</v>
      </c>
      <c r="BB22" s="13">
        <f t="shared" si="7"/>
        <v>2339</v>
      </c>
      <c r="BC22" s="13">
        <v>1</v>
      </c>
    </row>
    <row r="23" spans="1:55" x14ac:dyDescent="0.25">
      <c r="A23" s="7">
        <v>2</v>
      </c>
      <c r="B23" s="7" t="s">
        <v>300</v>
      </c>
      <c r="C23" s="7" t="s">
        <v>69</v>
      </c>
      <c r="D23" s="7" t="s">
        <v>338</v>
      </c>
      <c r="E23" s="17" t="s">
        <v>512</v>
      </c>
      <c r="F23" s="17" t="s">
        <v>322</v>
      </c>
      <c r="G23" s="13">
        <v>13250080</v>
      </c>
      <c r="H23" s="13">
        <v>23383</v>
      </c>
      <c r="I23" s="13">
        <v>424306</v>
      </c>
      <c r="J23" s="13">
        <v>6662886</v>
      </c>
      <c r="K23" s="13">
        <v>1061961</v>
      </c>
      <c r="L23" s="13">
        <v>3773970</v>
      </c>
      <c r="M23" s="13">
        <v>809850</v>
      </c>
      <c r="N23" s="13">
        <v>13183028</v>
      </c>
      <c r="O23" s="19">
        <v>0.04</v>
      </c>
      <c r="P23" s="13">
        <v>0</v>
      </c>
      <c r="Q23" s="21">
        <f>876537/13183028</f>
        <v>6.6489807956108413E-2</v>
      </c>
      <c r="R23" s="13">
        <v>874361</v>
      </c>
      <c r="S23" s="13">
        <v>0</v>
      </c>
      <c r="T23" s="13">
        <v>356912</v>
      </c>
      <c r="U23" s="13">
        <v>30070</v>
      </c>
      <c r="V23" s="13">
        <v>77479</v>
      </c>
      <c r="W23" s="13">
        <f>55874+7664</f>
        <v>63538</v>
      </c>
      <c r="X23" s="13">
        <v>14246</v>
      </c>
      <c r="Y23" s="13">
        <v>139630</v>
      </c>
      <c r="Z23" s="13">
        <v>0</v>
      </c>
      <c r="AA23" s="13">
        <f>5221+53800+15834</f>
        <v>74855</v>
      </c>
      <c r="AB23" s="13">
        <v>8486</v>
      </c>
      <c r="AC23" s="13">
        <v>0</v>
      </c>
      <c r="AD23" s="13">
        <v>5072</v>
      </c>
      <c r="AE23" s="13">
        <v>0</v>
      </c>
      <c r="AF23" s="13">
        <v>804728</v>
      </c>
      <c r="AG23" s="19">
        <f t="shared" si="5"/>
        <v>0</v>
      </c>
      <c r="AH23" s="13">
        <v>108854</v>
      </c>
      <c r="AI23" s="13">
        <v>124333</v>
      </c>
      <c r="AJ23" s="13">
        <v>0</v>
      </c>
      <c r="AK23" s="13">
        <v>77557</v>
      </c>
      <c r="AL23" s="13">
        <v>0</v>
      </c>
      <c r="AM23" s="13">
        <v>0</v>
      </c>
      <c r="AN23" s="13">
        <v>0</v>
      </c>
      <c r="AO23" s="13">
        <v>4459</v>
      </c>
      <c r="AP23" s="13">
        <v>1886</v>
      </c>
      <c r="AQ23" s="13">
        <v>-232</v>
      </c>
      <c r="AR23" s="13">
        <v>-543</v>
      </c>
      <c r="AS23" s="13">
        <v>-999</v>
      </c>
      <c r="AT23" s="13">
        <v>-1</v>
      </c>
      <c r="AU23" s="13">
        <f t="shared" si="6"/>
        <v>4570</v>
      </c>
      <c r="AV23" s="13">
        <v>4578</v>
      </c>
      <c r="AW23" s="13">
        <v>1447</v>
      </c>
      <c r="AX23" s="13">
        <v>-160</v>
      </c>
      <c r="AY23" s="13">
        <v>-509</v>
      </c>
      <c r="AZ23" s="13">
        <v>-897</v>
      </c>
      <c r="BA23" s="13">
        <v>0</v>
      </c>
      <c r="BB23" s="13">
        <f t="shared" si="7"/>
        <v>4459</v>
      </c>
      <c r="BC23" s="13">
        <v>124</v>
      </c>
    </row>
    <row r="24" spans="1:55" x14ac:dyDescent="0.25">
      <c r="A24" s="7">
        <v>2</v>
      </c>
      <c r="B24" s="7" t="s">
        <v>392</v>
      </c>
      <c r="C24" s="7" t="s">
        <v>405</v>
      </c>
      <c r="D24" s="7" t="s">
        <v>338</v>
      </c>
      <c r="E24" s="17" t="s">
        <v>512</v>
      </c>
      <c r="F24" s="17" t="s">
        <v>322</v>
      </c>
      <c r="G24" s="13">
        <v>6887243</v>
      </c>
      <c r="H24" s="13">
        <v>22953</v>
      </c>
      <c r="I24" s="13">
        <v>199304</v>
      </c>
      <c r="J24" s="13">
        <v>3110608</v>
      </c>
      <c r="K24" s="13">
        <v>650203</v>
      </c>
      <c r="L24" s="13">
        <v>2170843</v>
      </c>
      <c r="M24" s="13">
        <v>220497</v>
      </c>
      <c r="N24" s="13">
        <v>6668336</v>
      </c>
      <c r="O24" s="19">
        <v>7.0000000000000007E-2</v>
      </c>
      <c r="P24" s="13">
        <v>0</v>
      </c>
      <c r="Q24" s="21">
        <v>7.6999999999999999E-2</v>
      </c>
      <c r="R24" s="13">
        <v>515896</v>
      </c>
      <c r="S24" s="13">
        <v>0</v>
      </c>
      <c r="T24" s="13">
        <v>194899</v>
      </c>
      <c r="U24" s="13">
        <v>17468</v>
      </c>
      <c r="V24" s="13">
        <v>25143</v>
      </c>
      <c r="W24" s="13">
        <f>40772+5567</f>
        <v>46339</v>
      </c>
      <c r="X24" s="13">
        <v>10066</v>
      </c>
      <c r="Y24" s="13">
        <v>15002</v>
      </c>
      <c r="Z24" s="13">
        <v>517</v>
      </c>
      <c r="AA24" s="13">
        <f>4901+17413+26725</f>
        <v>49039</v>
      </c>
      <c r="AB24" s="13">
        <v>9134</v>
      </c>
      <c r="AC24" s="13">
        <v>1308</v>
      </c>
      <c r="AD24" s="13">
        <v>4044</v>
      </c>
      <c r="AE24" s="13">
        <v>0</v>
      </c>
      <c r="AF24" s="13">
        <v>419082</v>
      </c>
      <c r="AG24" s="19">
        <f t="shared" si="5"/>
        <v>0</v>
      </c>
      <c r="AH24" s="13">
        <v>50547</v>
      </c>
      <c r="AI24" s="13">
        <v>124333</v>
      </c>
      <c r="AJ24" s="13">
        <v>0</v>
      </c>
      <c r="AK24" s="13">
        <v>46414</v>
      </c>
      <c r="AL24" s="13">
        <v>0</v>
      </c>
      <c r="AM24" s="13">
        <v>0</v>
      </c>
      <c r="AN24" s="13">
        <v>0</v>
      </c>
      <c r="AO24" s="13">
        <v>1441</v>
      </c>
      <c r="AP24" s="13">
        <v>566</v>
      </c>
      <c r="AQ24" s="13">
        <v>-128</v>
      </c>
      <c r="AR24" s="13">
        <v>-134</v>
      </c>
      <c r="AS24" s="13">
        <v>-330</v>
      </c>
      <c r="AT24" s="13">
        <f>11-2</f>
        <v>9</v>
      </c>
      <c r="AU24" s="13">
        <f t="shared" si="6"/>
        <v>1424</v>
      </c>
      <c r="AV24" s="13">
        <v>1633</v>
      </c>
      <c r="AW24" s="13">
        <v>447</v>
      </c>
      <c r="AX24" s="13">
        <v>-119</v>
      </c>
      <c r="AY24" s="13">
        <v>-178</v>
      </c>
      <c r="AZ24" s="13">
        <v>-346</v>
      </c>
      <c r="BA24" s="13">
        <v>4</v>
      </c>
      <c r="BB24" s="13">
        <f t="shared" si="7"/>
        <v>1441</v>
      </c>
      <c r="BC24" s="13">
        <v>37</v>
      </c>
    </row>
    <row r="25" spans="1:55" x14ac:dyDescent="0.25">
      <c r="A25" s="7">
        <v>2</v>
      </c>
      <c r="B25" s="7" t="s">
        <v>411</v>
      </c>
      <c r="C25" s="7" t="s">
        <v>195</v>
      </c>
      <c r="D25" s="7" t="s">
        <v>114</v>
      </c>
      <c r="E25" s="17"/>
      <c r="F25" s="17" t="s">
        <v>106</v>
      </c>
      <c r="G25" s="13">
        <v>5662218</v>
      </c>
      <c r="H25" s="13">
        <v>7677</v>
      </c>
      <c r="I25" s="13">
        <v>486225</v>
      </c>
      <c r="J25" s="13">
        <v>2946906</v>
      </c>
      <c r="K25" s="13">
        <v>890546</v>
      </c>
      <c r="L25" s="13">
        <v>546151</v>
      </c>
      <c r="M25" s="13">
        <v>214734</v>
      </c>
      <c r="N25" s="13">
        <v>5060960</v>
      </c>
      <c r="O25" s="19">
        <v>0.13</v>
      </c>
      <c r="P25" s="13">
        <v>0</v>
      </c>
      <c r="Q25" s="21">
        <f>441390/5046078</f>
        <v>8.7471894013528922E-2</v>
      </c>
      <c r="R25" s="13">
        <v>441946</v>
      </c>
      <c r="S25" s="13">
        <v>0</v>
      </c>
      <c r="T25" s="13">
        <v>182257</v>
      </c>
      <c r="U25" s="13">
        <v>13026</v>
      </c>
      <c r="V25" s="13">
        <v>37347</v>
      </c>
      <c r="W25" s="13">
        <v>25414</v>
      </c>
      <c r="X25" s="13">
        <v>17560</v>
      </c>
      <c r="Y25" s="13">
        <v>4756</v>
      </c>
      <c r="Z25" s="13">
        <v>0</v>
      </c>
      <c r="AA25" s="13">
        <f>7464+6065+6512</f>
        <v>20041</v>
      </c>
      <c r="AB25" s="13">
        <v>0</v>
      </c>
      <c r="AC25" s="13">
        <v>286</v>
      </c>
      <c r="AD25" s="13">
        <v>2974</v>
      </c>
      <c r="AE25" s="13">
        <v>25414</v>
      </c>
      <c r="AF25" s="13">
        <v>319083</v>
      </c>
      <c r="AG25" s="19">
        <f t="shared" si="5"/>
        <v>7.9646988401137014E-2</v>
      </c>
      <c r="AH25" s="13">
        <v>4609</v>
      </c>
      <c r="AI25" s="13">
        <v>124333</v>
      </c>
      <c r="AJ25" s="13">
        <v>0</v>
      </c>
      <c r="AK25" s="13">
        <v>26219</v>
      </c>
      <c r="AL25" s="13">
        <v>0</v>
      </c>
      <c r="AM25" s="13">
        <v>0</v>
      </c>
      <c r="AN25" s="13">
        <v>0</v>
      </c>
      <c r="AO25" s="13">
        <v>1059</v>
      </c>
      <c r="AP25" s="13">
        <v>1120</v>
      </c>
      <c r="AQ25" s="13">
        <v>-225</v>
      </c>
      <c r="AR25" s="13">
        <v>-667</v>
      </c>
      <c r="AS25" s="13">
        <v>-159</v>
      </c>
      <c r="AT25" s="13">
        <v>-1</v>
      </c>
      <c r="AU25" s="13">
        <f t="shared" si="6"/>
        <v>1127</v>
      </c>
      <c r="AV25" s="13">
        <v>974</v>
      </c>
      <c r="AW25" s="13">
        <v>685</v>
      </c>
      <c r="AX25" s="13">
        <v>-110</v>
      </c>
      <c r="AY25" s="13">
        <v>-410</v>
      </c>
      <c r="AZ25" s="13">
        <v>-80</v>
      </c>
      <c r="BA25" s="13"/>
      <c r="BB25" s="13">
        <f t="shared" si="7"/>
        <v>1059</v>
      </c>
      <c r="BC25" s="13">
        <v>1</v>
      </c>
    </row>
    <row r="26" spans="1:55" x14ac:dyDescent="0.25">
      <c r="A26" s="7">
        <v>2</v>
      </c>
      <c r="B26" s="7" t="s">
        <v>427</v>
      </c>
      <c r="C26" s="7" t="s">
        <v>515</v>
      </c>
      <c r="D26" s="7" t="s">
        <v>338</v>
      </c>
      <c r="E26" s="17" t="s">
        <v>450</v>
      </c>
      <c r="F26" s="17" t="s">
        <v>323</v>
      </c>
      <c r="G26" s="13">
        <v>10116046</v>
      </c>
      <c r="H26" s="13">
        <v>20638</v>
      </c>
      <c r="I26" s="13">
        <v>1828535</v>
      </c>
      <c r="J26" s="13">
        <v>4711204</v>
      </c>
      <c r="K26" s="13">
        <v>1392212</v>
      </c>
      <c r="L26" s="13">
        <v>2048797</v>
      </c>
      <c r="M26" s="13">
        <v>114495</v>
      </c>
      <c r="N26" s="13">
        <v>8788957</v>
      </c>
      <c r="O26" s="19">
        <v>0.2258</v>
      </c>
      <c r="P26" s="13">
        <v>62726</v>
      </c>
      <c r="Q26" s="21">
        <f>513233/8848844</f>
        <v>5.8000005424437361E-2</v>
      </c>
      <c r="R26" s="13">
        <v>513229</v>
      </c>
      <c r="S26" s="13">
        <v>0</v>
      </c>
      <c r="T26" s="13">
        <v>202336</v>
      </c>
      <c r="U26" s="13">
        <v>18210</v>
      </c>
      <c r="V26" s="13">
        <v>7706</v>
      </c>
      <c r="W26" s="13">
        <v>65154</v>
      </c>
      <c r="X26" s="13">
        <v>26400</v>
      </c>
      <c r="Y26" s="13">
        <v>4870</v>
      </c>
      <c r="Z26" s="13">
        <v>0</v>
      </c>
      <c r="AA26" s="13">
        <f>7790+13437+9119</f>
        <v>30346</v>
      </c>
      <c r="AB26" s="13">
        <v>625</v>
      </c>
      <c r="AC26" s="13">
        <v>362</v>
      </c>
      <c r="AD26" s="13">
        <v>0</v>
      </c>
      <c r="AE26" s="13">
        <v>342452</v>
      </c>
      <c r="AF26" s="13">
        <v>394106</v>
      </c>
      <c r="AG26" s="19">
        <f t="shared" si="5"/>
        <v>0.86893373863884338</v>
      </c>
      <c r="AH26" s="13">
        <v>28117</v>
      </c>
      <c r="AI26" s="13">
        <v>123265</v>
      </c>
      <c r="AJ26" s="13">
        <v>0</v>
      </c>
      <c r="AK26" s="13">
        <v>50027</v>
      </c>
      <c r="AL26" s="13">
        <v>0</v>
      </c>
      <c r="AM26" s="13">
        <v>0</v>
      </c>
      <c r="AN26" s="13">
        <v>0</v>
      </c>
      <c r="AO26" s="13">
        <v>2614</v>
      </c>
      <c r="AP26" s="13">
        <v>1877</v>
      </c>
      <c r="AQ26" s="13">
        <v>-211</v>
      </c>
      <c r="AR26" s="13">
        <v>-1771</v>
      </c>
      <c r="AS26" s="13">
        <v>-131</v>
      </c>
      <c r="AT26" s="13">
        <v>-3</v>
      </c>
      <c r="AU26" s="13">
        <f t="shared" si="6"/>
        <v>2375</v>
      </c>
      <c r="AV26" s="13">
        <v>2639</v>
      </c>
      <c r="AW26" s="13">
        <v>2037</v>
      </c>
      <c r="AX26" s="13">
        <v>-188</v>
      </c>
      <c r="AY26" s="13">
        <v>-1674</v>
      </c>
      <c r="AZ26" s="13">
        <v>-200</v>
      </c>
      <c r="BA26" s="13"/>
      <c r="BB26" s="13">
        <f t="shared" si="7"/>
        <v>2614</v>
      </c>
      <c r="BC26" s="13">
        <v>31</v>
      </c>
    </row>
    <row r="27" spans="1:55" x14ac:dyDescent="0.25">
      <c r="A27" s="7">
        <v>2</v>
      </c>
      <c r="B27" s="7" t="s">
        <v>437</v>
      </c>
      <c r="C27" s="7" t="s">
        <v>520</v>
      </c>
      <c r="D27" s="7" t="s">
        <v>500</v>
      </c>
      <c r="E27" s="17"/>
      <c r="F27" s="17" t="s">
        <v>498</v>
      </c>
      <c r="G27" s="13">
        <v>717877</v>
      </c>
      <c r="H27" s="13">
        <v>1946</v>
      </c>
      <c r="I27" s="13">
        <v>36830</v>
      </c>
      <c r="J27" s="13">
        <v>407828</v>
      </c>
      <c r="K27" s="13">
        <v>109289</v>
      </c>
      <c r="L27" s="13">
        <v>75179</v>
      </c>
      <c r="M27" s="13">
        <v>23154</v>
      </c>
      <c r="N27" s="13">
        <v>672670</v>
      </c>
      <c r="O27" s="19">
        <v>0.15</v>
      </c>
      <c r="P27" s="13">
        <v>57009</v>
      </c>
      <c r="Q27" s="21">
        <f>60198/615661</f>
        <v>9.777783552961776E-2</v>
      </c>
      <c r="R27" s="13">
        <v>57009</v>
      </c>
      <c r="S27" s="13">
        <v>0</v>
      </c>
      <c r="T27" s="13">
        <v>6054</v>
      </c>
      <c r="U27" s="13">
        <v>463</v>
      </c>
      <c r="V27" s="13">
        <v>1345</v>
      </c>
      <c r="W27" s="13">
        <v>2720</v>
      </c>
      <c r="X27" s="13">
        <v>0</v>
      </c>
      <c r="Y27" s="13">
        <v>6901</v>
      </c>
      <c r="Z27" s="13">
        <v>0</v>
      </c>
      <c r="AA27" s="13">
        <f>1098+1773+1362</f>
        <v>4233</v>
      </c>
      <c r="AB27" s="13">
        <v>0</v>
      </c>
      <c r="AC27" s="13">
        <v>766</v>
      </c>
      <c r="AD27" s="13">
        <v>1925</v>
      </c>
      <c r="AE27" s="13">
        <v>15088</v>
      </c>
      <c r="AF27" s="13">
        <v>29919</v>
      </c>
      <c r="AG27" s="19">
        <f t="shared" si="5"/>
        <v>0.50429492964337042</v>
      </c>
      <c r="AH27" s="13">
        <v>2099</v>
      </c>
      <c r="AI27" s="13">
        <v>29138</v>
      </c>
      <c r="AJ27" s="13">
        <v>0</v>
      </c>
      <c r="AK27" s="13">
        <v>1995</v>
      </c>
      <c r="AL27" s="13">
        <v>0</v>
      </c>
      <c r="AM27" s="13">
        <v>0</v>
      </c>
      <c r="AN27" s="13">
        <v>0</v>
      </c>
      <c r="AO27" s="13">
        <v>114</v>
      </c>
      <c r="AP27" s="13">
        <v>148</v>
      </c>
      <c r="AQ27" s="13">
        <v>-24</v>
      </c>
      <c r="AR27" s="13">
        <v>-19</v>
      </c>
      <c r="AS27" s="13">
        <v>-21</v>
      </c>
      <c r="AT27" s="13">
        <v>3</v>
      </c>
      <c r="AU27" s="13">
        <f t="shared" si="6"/>
        <v>201</v>
      </c>
      <c r="AV27" s="13">
        <v>67</v>
      </c>
      <c r="AW27" s="13">
        <v>95</v>
      </c>
      <c r="AX27" s="13">
        <v>-21</v>
      </c>
      <c r="AY27" s="13">
        <v>-21</v>
      </c>
      <c r="AZ27" s="13">
        <v>-8</v>
      </c>
      <c r="BA27" s="13">
        <v>2</v>
      </c>
      <c r="BB27" s="13">
        <f t="shared" si="7"/>
        <v>114</v>
      </c>
      <c r="BC27" s="13">
        <v>2</v>
      </c>
    </row>
    <row r="28" spans="1:55" x14ac:dyDescent="0.25">
      <c r="A28" s="7">
        <v>2</v>
      </c>
      <c r="B28" s="7" t="s">
        <v>468</v>
      </c>
      <c r="C28" s="7" t="s">
        <v>507</v>
      </c>
      <c r="D28" s="7" t="s">
        <v>338</v>
      </c>
      <c r="E28" s="17" t="s">
        <v>331</v>
      </c>
      <c r="F28" s="17" t="s">
        <v>322</v>
      </c>
      <c r="G28" s="13">
        <v>4973536</v>
      </c>
      <c r="H28" s="13">
        <v>19199</v>
      </c>
      <c r="I28" s="13">
        <v>170531</v>
      </c>
      <c r="J28" s="13">
        <v>2365333</v>
      </c>
      <c r="K28" s="13">
        <v>556003</v>
      </c>
      <c r="L28" s="13">
        <v>1253186</v>
      </c>
      <c r="M28" s="13">
        <v>279110</v>
      </c>
      <c r="N28" s="13">
        <v>4855998</v>
      </c>
      <c r="O28" s="19">
        <v>0.14000000000000001</v>
      </c>
      <c r="P28" s="13">
        <v>0</v>
      </c>
      <c r="Q28" s="21">
        <f>401785/4855998</f>
        <v>8.2739943467851504E-2</v>
      </c>
      <c r="R28" s="13">
        <v>402348</v>
      </c>
      <c r="S28" s="13">
        <v>0</v>
      </c>
      <c r="T28" s="13">
        <v>110592</v>
      </c>
      <c r="U28" s="13">
        <v>15764</v>
      </c>
      <c r="V28" s="13">
        <v>18094</v>
      </c>
      <c r="W28" s="13">
        <v>37841</v>
      </c>
      <c r="X28" s="13">
        <v>9300</v>
      </c>
      <c r="Y28" s="13">
        <v>51974</v>
      </c>
      <c r="Z28" s="13">
        <v>750</v>
      </c>
      <c r="AA28" s="13">
        <f>5024+12421+8650</f>
        <v>26095</v>
      </c>
      <c r="AB28" s="13">
        <v>5759</v>
      </c>
      <c r="AC28" s="13">
        <v>0</v>
      </c>
      <c r="AD28" s="13">
        <v>26460</v>
      </c>
      <c r="AE28" s="13">
        <v>0</v>
      </c>
      <c r="AF28" s="13">
        <v>319700</v>
      </c>
      <c r="AG28" s="19">
        <f t="shared" si="5"/>
        <v>0</v>
      </c>
      <c r="AH28" s="13">
        <v>38311</v>
      </c>
      <c r="AI28" s="13">
        <v>124333</v>
      </c>
      <c r="AJ28" s="13">
        <v>0</v>
      </c>
      <c r="AK28" s="13">
        <v>30517</v>
      </c>
      <c r="AL28" s="13">
        <v>0</v>
      </c>
      <c r="AM28" s="13">
        <v>0</v>
      </c>
      <c r="AN28" s="13">
        <v>0</v>
      </c>
      <c r="AO28" s="13">
        <v>1096</v>
      </c>
      <c r="AP28" s="13">
        <v>732</v>
      </c>
      <c r="AQ28" s="13">
        <v>-121</v>
      </c>
      <c r="AR28" s="13">
        <v>-256</v>
      </c>
      <c r="AS28" s="13">
        <v>-237</v>
      </c>
      <c r="AT28" s="13"/>
      <c r="AU28" s="13">
        <f t="shared" si="6"/>
        <v>1214</v>
      </c>
      <c r="AV28" s="13">
        <v>800</v>
      </c>
      <c r="AW28" s="13">
        <v>486</v>
      </c>
      <c r="AX28" s="13">
        <v>-77</v>
      </c>
      <c r="AY28" s="13">
        <v>-148</v>
      </c>
      <c r="AZ28" s="13">
        <v>-118</v>
      </c>
      <c r="BA28" s="13">
        <v>153</v>
      </c>
      <c r="BB28" s="13">
        <f t="shared" si="7"/>
        <v>1096</v>
      </c>
      <c r="BC28" s="13">
        <v>25</v>
      </c>
    </row>
    <row r="29" spans="1:55" x14ac:dyDescent="0.25">
      <c r="A29" s="7">
        <v>2</v>
      </c>
      <c r="B29" s="7" t="s">
        <v>509</v>
      </c>
      <c r="C29" s="7" t="s">
        <v>407</v>
      </c>
      <c r="D29" s="7" t="s">
        <v>338</v>
      </c>
      <c r="E29" s="17" t="s">
        <v>143</v>
      </c>
      <c r="F29" s="17" t="s">
        <v>322</v>
      </c>
      <c r="G29" s="13">
        <v>2832691</v>
      </c>
      <c r="H29" s="13">
        <v>4282</v>
      </c>
      <c r="I29" s="13">
        <v>146443</v>
      </c>
      <c r="J29" s="13">
        <v>1677883</v>
      </c>
      <c r="K29" s="13">
        <v>205086</v>
      </c>
      <c r="L29" s="13">
        <v>504682</v>
      </c>
      <c r="M29" s="13">
        <v>30042</v>
      </c>
      <c r="N29" s="13">
        <v>2688964</v>
      </c>
      <c r="O29" s="19">
        <v>0.04</v>
      </c>
      <c r="P29" s="13">
        <v>0</v>
      </c>
      <c r="Q29" s="21">
        <f>268639/2686389</f>
        <v>0.10000003722469084</v>
      </c>
      <c r="R29" s="13">
        <v>268709</v>
      </c>
      <c r="S29" s="13">
        <v>0</v>
      </c>
      <c r="T29" s="13">
        <v>84118</v>
      </c>
      <c r="U29" s="13">
        <v>6916</v>
      </c>
      <c r="V29" s="13">
        <v>434</v>
      </c>
      <c r="W29" s="13">
        <v>20600</v>
      </c>
      <c r="X29" s="13">
        <v>9850</v>
      </c>
      <c r="Y29" s="13">
        <v>1755</v>
      </c>
      <c r="Z29" s="13">
        <v>0</v>
      </c>
      <c r="AA29" s="13">
        <f>3996+3447+3086</f>
        <v>10529</v>
      </c>
      <c r="AB29" s="13">
        <v>4780</v>
      </c>
      <c r="AC29" s="13">
        <v>12000</v>
      </c>
      <c r="AD29" s="13">
        <v>0</v>
      </c>
      <c r="AE29" s="13">
        <v>132286</v>
      </c>
      <c r="AF29" s="13">
        <v>167048</v>
      </c>
      <c r="AG29" s="19">
        <f t="shared" si="5"/>
        <v>0.79190412336573923</v>
      </c>
      <c r="AH29" s="13">
        <v>2784</v>
      </c>
      <c r="AI29" s="13">
        <v>112117</v>
      </c>
      <c r="AJ29" s="13">
        <v>0</v>
      </c>
      <c r="AK29" s="13">
        <v>1088</v>
      </c>
      <c r="AL29" s="13">
        <v>0</v>
      </c>
      <c r="AM29" s="13">
        <v>0</v>
      </c>
      <c r="AN29" s="13">
        <v>42286</v>
      </c>
      <c r="AO29" s="13">
        <v>554</v>
      </c>
      <c r="AP29" s="13">
        <v>392</v>
      </c>
      <c r="AQ29" s="13">
        <v>-25</v>
      </c>
      <c r="AR29" s="13">
        <v>-145</v>
      </c>
      <c r="AS29" s="13">
        <v>-213</v>
      </c>
      <c r="AT29" s="13">
        <v>-13</v>
      </c>
      <c r="AU29" s="13">
        <f t="shared" si="6"/>
        <v>550</v>
      </c>
      <c r="AV29" s="13">
        <v>530</v>
      </c>
      <c r="AW29" s="13">
        <v>430</v>
      </c>
      <c r="AX29" s="13">
        <v>-24</v>
      </c>
      <c r="AY29" s="13">
        <v>-293</v>
      </c>
      <c r="AZ29" s="13">
        <v>-68</v>
      </c>
      <c r="BA29" s="13">
        <v>-21</v>
      </c>
      <c r="BB29" s="13">
        <f t="shared" si="7"/>
        <v>554</v>
      </c>
      <c r="BC29" s="13">
        <v>0</v>
      </c>
    </row>
    <row r="30" spans="1:55" x14ac:dyDescent="0.25">
      <c r="A30" s="7">
        <v>3</v>
      </c>
      <c r="B30" s="7" t="s">
        <v>125</v>
      </c>
      <c r="C30" s="7" t="s">
        <v>193</v>
      </c>
      <c r="D30" s="7" t="s">
        <v>358</v>
      </c>
      <c r="E30" s="17" t="s">
        <v>290</v>
      </c>
      <c r="F30" s="17" t="s">
        <v>368</v>
      </c>
      <c r="G30" s="13">
        <v>6956051</v>
      </c>
      <c r="H30" s="13">
        <v>39875</v>
      </c>
      <c r="I30" s="13">
        <v>432822</v>
      </c>
      <c r="J30" s="13">
        <v>2201833</v>
      </c>
      <c r="K30" s="13">
        <v>1716144</v>
      </c>
      <c r="L30" s="13">
        <v>1385330</v>
      </c>
      <c r="M30" s="13">
        <v>339521</v>
      </c>
      <c r="N30" s="13">
        <v>5988054</v>
      </c>
      <c r="O30" s="19">
        <v>0.25800000000000001</v>
      </c>
      <c r="P30" s="13">
        <v>0</v>
      </c>
      <c r="Q30" s="21">
        <f>329231/5975097</f>
        <v>5.5100528075109075E-2</v>
      </c>
      <c r="R30" s="13">
        <v>332164</v>
      </c>
      <c r="S30" s="13">
        <v>0</v>
      </c>
      <c r="T30" s="13">
        <v>130669</v>
      </c>
      <c r="U30" s="13">
        <v>11697</v>
      </c>
      <c r="V30" s="13">
        <v>15229</v>
      </c>
      <c r="W30" s="13">
        <f>11365+1808</f>
        <v>13173</v>
      </c>
      <c r="X30" s="13">
        <v>10312</v>
      </c>
      <c r="Y30" s="13">
        <v>16778</v>
      </c>
      <c r="Z30" s="13">
        <v>16276</v>
      </c>
      <c r="AA30" s="13">
        <f>4924+10796+6965</f>
        <v>22685</v>
      </c>
      <c r="AB30" s="13">
        <v>2631</v>
      </c>
      <c r="AC30" s="13">
        <v>0</v>
      </c>
      <c r="AD30" s="13">
        <v>11063</v>
      </c>
      <c r="AE30" s="13">
        <v>23819</v>
      </c>
      <c r="AF30" s="13">
        <v>285433</v>
      </c>
      <c r="AG30" s="19">
        <f t="shared" si="5"/>
        <v>8.3448655201045427E-2</v>
      </c>
      <c r="AH30" s="13">
        <v>37294</v>
      </c>
      <c r="AI30" s="13">
        <v>124333</v>
      </c>
      <c r="AJ30" s="13">
        <v>0</v>
      </c>
      <c r="AK30" s="13">
        <v>12016</v>
      </c>
      <c r="AL30" s="13">
        <v>0</v>
      </c>
      <c r="AM30" s="13">
        <v>0</v>
      </c>
      <c r="AN30" s="13">
        <v>0</v>
      </c>
      <c r="AO30" s="13">
        <v>1827</v>
      </c>
      <c r="AP30" s="13">
        <v>1005</v>
      </c>
      <c r="AQ30" s="13">
        <v>-134</v>
      </c>
      <c r="AR30" s="13">
        <v>-444</v>
      </c>
      <c r="AS30" s="13">
        <v>-347</v>
      </c>
      <c r="AT30" s="13"/>
      <c r="AU30" s="13">
        <f t="shared" si="6"/>
        <v>1907</v>
      </c>
      <c r="AV30" s="13">
        <v>1855</v>
      </c>
      <c r="AW30" s="13">
        <v>776</v>
      </c>
      <c r="AX30" s="13">
        <v>-151</v>
      </c>
      <c r="AY30" s="13">
        <v>-505</v>
      </c>
      <c r="AZ30" s="13">
        <v>-148</v>
      </c>
      <c r="BA30" s="13"/>
      <c r="BB30" s="13">
        <f t="shared" si="7"/>
        <v>1827</v>
      </c>
      <c r="BC30" s="13">
        <v>0</v>
      </c>
    </row>
    <row r="31" spans="1:55" x14ac:dyDescent="0.25">
      <c r="A31" s="7">
        <v>3</v>
      </c>
      <c r="B31" s="7" t="s">
        <v>177</v>
      </c>
      <c r="C31" s="7" t="s">
        <v>375</v>
      </c>
      <c r="D31" s="7" t="s">
        <v>358</v>
      </c>
      <c r="E31" s="17" t="s">
        <v>512</v>
      </c>
      <c r="F31" s="17" t="s">
        <v>368</v>
      </c>
      <c r="G31" s="13">
        <v>18346640</v>
      </c>
      <c r="H31" s="13">
        <v>62310</v>
      </c>
      <c r="I31" s="13">
        <v>575958</v>
      </c>
      <c r="J31" s="13">
        <v>12637120</v>
      </c>
      <c r="K31" s="13">
        <v>1462185</v>
      </c>
      <c r="L31" s="13">
        <v>2489714</v>
      </c>
      <c r="M31" s="13">
        <v>493580</v>
      </c>
      <c r="N31" s="13">
        <v>17869607</v>
      </c>
      <c r="O31" s="19">
        <v>0.06</v>
      </c>
      <c r="P31" s="13">
        <v>0</v>
      </c>
      <c r="Q31" s="21">
        <f>767536/17849669</f>
        <v>4.3000013053463342E-2</v>
      </c>
      <c r="R31" s="13">
        <v>751498</v>
      </c>
      <c r="S31" s="13">
        <v>0</v>
      </c>
      <c r="T31" s="13">
        <v>365797</v>
      </c>
      <c r="U31" s="13">
        <v>37608</v>
      </c>
      <c r="V31" s="13">
        <v>46853</v>
      </c>
      <c r="W31" s="13">
        <v>86158</v>
      </c>
      <c r="X31" s="13">
        <v>18126</v>
      </c>
      <c r="Y31" s="13">
        <v>15384</v>
      </c>
      <c r="Z31" s="13">
        <v>0</v>
      </c>
      <c r="AA31" s="13">
        <f>8415+23967+22380</f>
        <v>54762</v>
      </c>
      <c r="AB31" s="13">
        <v>6236</v>
      </c>
      <c r="AC31" s="13">
        <v>1727</v>
      </c>
      <c r="AD31" s="13">
        <v>25100</v>
      </c>
      <c r="AE31" s="13">
        <v>0</v>
      </c>
      <c r="AF31" s="13">
        <v>700580</v>
      </c>
      <c r="AG31" s="19">
        <f t="shared" si="5"/>
        <v>0</v>
      </c>
      <c r="AH31" s="13">
        <v>79684</v>
      </c>
      <c r="AI31" s="13">
        <v>124333</v>
      </c>
      <c r="AJ31" s="13">
        <v>0</v>
      </c>
      <c r="AK31" s="13">
        <v>101253</v>
      </c>
      <c r="AL31" s="13">
        <v>0</v>
      </c>
      <c r="AM31" s="13">
        <v>0</v>
      </c>
      <c r="AN31" s="13">
        <v>0</v>
      </c>
      <c r="AO31" s="13">
        <v>2031</v>
      </c>
      <c r="AP31" s="13">
        <v>966</v>
      </c>
      <c r="AQ31" s="13">
        <v>-179</v>
      </c>
      <c r="AR31" s="13">
        <v>-518</v>
      </c>
      <c r="AS31" s="13">
        <v>-235</v>
      </c>
      <c r="AT31" s="13">
        <f>4+11</f>
        <v>15</v>
      </c>
      <c r="AU31" s="13">
        <f t="shared" si="6"/>
        <v>2080</v>
      </c>
      <c r="AV31" s="13">
        <v>2035</v>
      </c>
      <c r="AW31" s="13">
        <v>873</v>
      </c>
      <c r="AX31" s="13">
        <v>-148</v>
      </c>
      <c r="AY31" s="13">
        <v>-447</v>
      </c>
      <c r="AZ31" s="13">
        <v>-281</v>
      </c>
      <c r="BA31" s="13">
        <f>-11+12-2</f>
        <v>-1</v>
      </c>
      <c r="BB31" s="13">
        <f t="shared" si="7"/>
        <v>2031</v>
      </c>
      <c r="BC31" s="13">
        <v>0</v>
      </c>
    </row>
    <row r="32" spans="1:55" x14ac:dyDescent="0.25">
      <c r="A32" s="7">
        <v>3</v>
      </c>
      <c r="B32" s="7" t="s">
        <v>228</v>
      </c>
      <c r="C32" s="7" t="s">
        <v>521</v>
      </c>
      <c r="D32" s="7" t="s">
        <v>120</v>
      </c>
      <c r="E32" s="17"/>
      <c r="F32" s="17" t="s">
        <v>126</v>
      </c>
      <c r="G32" s="13">
        <v>3945599</v>
      </c>
      <c r="H32" s="13">
        <v>14916</v>
      </c>
      <c r="I32" s="13">
        <v>133944</v>
      </c>
      <c r="J32" s="13">
        <v>1654440</v>
      </c>
      <c r="K32" s="13">
        <v>763006</v>
      </c>
      <c r="L32" s="13">
        <v>858500</v>
      </c>
      <c r="M32" s="13">
        <v>177925</v>
      </c>
      <c r="N32" s="13">
        <v>3747996</v>
      </c>
      <c r="O32" s="19">
        <v>0.11</v>
      </c>
      <c r="P32" s="13">
        <v>0</v>
      </c>
      <c r="Q32" s="21">
        <f>281722/3744096</f>
        <v>7.5244331341931397E-2</v>
      </c>
      <c r="R32" s="13">
        <v>282074</v>
      </c>
      <c r="S32" s="13">
        <v>0</v>
      </c>
      <c r="T32" s="13">
        <v>71979</v>
      </c>
      <c r="U32" s="13">
        <v>6381</v>
      </c>
      <c r="V32" s="13">
        <v>6788</v>
      </c>
      <c r="W32" s="13">
        <v>24800</v>
      </c>
      <c r="X32" s="13">
        <v>15075</v>
      </c>
      <c r="Y32" s="13">
        <v>0</v>
      </c>
      <c r="Z32" s="13">
        <v>0</v>
      </c>
      <c r="AA32" s="13">
        <f>1795+7446+5221</f>
        <v>14462</v>
      </c>
      <c r="AB32" s="13">
        <v>2300</v>
      </c>
      <c r="AC32" s="13">
        <v>3600</v>
      </c>
      <c r="AD32" s="13">
        <v>9961</v>
      </c>
      <c r="AE32" s="13">
        <v>60486</v>
      </c>
      <c r="AF32" s="13">
        <v>173394</v>
      </c>
      <c r="AG32" s="19">
        <f t="shared" si="5"/>
        <v>0.34883559984774559</v>
      </c>
      <c r="AH32" s="13">
        <v>18328</v>
      </c>
      <c r="AI32" s="13">
        <v>124333</v>
      </c>
      <c r="AJ32" s="13">
        <v>0</v>
      </c>
      <c r="AK32" s="13">
        <v>21740</v>
      </c>
      <c r="AL32" s="13">
        <v>0</v>
      </c>
      <c r="AM32" s="13">
        <v>0</v>
      </c>
      <c r="AN32" s="13">
        <v>0</v>
      </c>
      <c r="AO32" s="13">
        <v>1212</v>
      </c>
      <c r="AP32" s="13">
        <v>502</v>
      </c>
      <c r="AQ32" s="13">
        <v>-77</v>
      </c>
      <c r="AR32" s="13">
        <v>-131</v>
      </c>
      <c r="AS32" s="13">
        <v>-182</v>
      </c>
      <c r="AT32" s="13">
        <v>0</v>
      </c>
      <c r="AU32" s="13">
        <f t="shared" si="6"/>
        <v>1324</v>
      </c>
      <c r="AV32" s="13">
        <v>1127</v>
      </c>
      <c r="AW32" s="13">
        <v>271</v>
      </c>
      <c r="AX32" s="13">
        <v>-24</v>
      </c>
      <c r="AY32" s="13">
        <v>-43</v>
      </c>
      <c r="AZ32" s="13">
        <v>-119</v>
      </c>
      <c r="BA32" s="13">
        <v>0</v>
      </c>
      <c r="BB32" s="13">
        <f t="shared" si="7"/>
        <v>1212</v>
      </c>
      <c r="BC32" s="13">
        <v>0</v>
      </c>
    </row>
    <row r="33" spans="1:55" x14ac:dyDescent="0.25">
      <c r="A33" s="7">
        <v>3</v>
      </c>
      <c r="B33" s="7" t="s">
        <v>393</v>
      </c>
      <c r="C33" s="7" t="s">
        <v>388</v>
      </c>
      <c r="D33" s="7" t="s">
        <v>358</v>
      </c>
      <c r="E33" s="17" t="s">
        <v>143</v>
      </c>
      <c r="F33" s="17" t="s">
        <v>368</v>
      </c>
      <c r="G33" s="13">
        <v>7237501</v>
      </c>
      <c r="H33" s="13">
        <v>48531</v>
      </c>
      <c r="I33" s="13">
        <v>581092</v>
      </c>
      <c r="J33" s="13">
        <v>3089267</v>
      </c>
      <c r="K33" s="13">
        <v>1240124</v>
      </c>
      <c r="L33" s="13">
        <v>977340</v>
      </c>
      <c r="M33" s="13">
        <v>413032</v>
      </c>
      <c r="N33" s="13">
        <v>6349662</v>
      </c>
      <c r="O33" s="19">
        <v>0.21</v>
      </c>
      <c r="P33" s="13">
        <v>0</v>
      </c>
      <c r="Q33" s="21">
        <f>568134/6298857</f>
        <v>9.0196364197504403E-2</v>
      </c>
      <c r="R33" s="13">
        <v>569410</v>
      </c>
      <c r="S33" s="13">
        <v>0</v>
      </c>
      <c r="T33" s="13">
        <v>264756</v>
      </c>
      <c r="U33" s="13">
        <v>19982</v>
      </c>
      <c r="V33" s="13">
        <v>32938</v>
      </c>
      <c r="W33" s="13">
        <f>38087+3330</f>
        <v>41417</v>
      </c>
      <c r="X33" s="13">
        <v>4039</v>
      </c>
      <c r="Y33" s="13">
        <v>16933</v>
      </c>
      <c r="Z33" s="13">
        <v>2598</v>
      </c>
      <c r="AA33" s="13">
        <f>7003+23351+11606</f>
        <v>41960</v>
      </c>
      <c r="AB33" s="13">
        <v>2168</v>
      </c>
      <c r="AC33" s="13">
        <v>5743</v>
      </c>
      <c r="AD33" s="13">
        <v>46899</v>
      </c>
      <c r="AE33" s="13">
        <v>62892</v>
      </c>
      <c r="AF33" s="13">
        <v>506511</v>
      </c>
      <c r="AG33" s="19">
        <f t="shared" si="5"/>
        <v>0.12416709607491248</v>
      </c>
      <c r="AH33" s="13">
        <v>14298</v>
      </c>
      <c r="AI33" s="13">
        <v>124332</v>
      </c>
      <c r="AJ33" s="13">
        <v>0</v>
      </c>
      <c r="AK33" s="13">
        <v>25638</v>
      </c>
      <c r="AL33" s="13">
        <v>0</v>
      </c>
      <c r="AM33" s="13">
        <v>0</v>
      </c>
      <c r="AN33" s="13">
        <v>0</v>
      </c>
      <c r="AO33" s="13">
        <v>2447</v>
      </c>
      <c r="AP33" s="13">
        <v>1829</v>
      </c>
      <c r="AQ33" s="13">
        <v>-133</v>
      </c>
      <c r="AR33" s="13">
        <v>-1041</v>
      </c>
      <c r="AS33" s="13">
        <v>-240</v>
      </c>
      <c r="AT33" s="13">
        <v>-8</v>
      </c>
      <c r="AU33" s="13">
        <f t="shared" si="6"/>
        <v>2854</v>
      </c>
      <c r="AV33" s="13">
        <v>2103</v>
      </c>
      <c r="AW33" s="13">
        <v>1847</v>
      </c>
      <c r="AX33" s="13">
        <v>-163</v>
      </c>
      <c r="AY33" s="13">
        <v>-1077</v>
      </c>
      <c r="AZ33" s="13">
        <v>-258</v>
      </c>
      <c r="BA33" s="13">
        <v>-5</v>
      </c>
      <c r="BB33" s="13">
        <f t="shared" si="7"/>
        <v>2447</v>
      </c>
      <c r="BC33" s="13">
        <v>0</v>
      </c>
    </row>
    <row r="34" spans="1:55" x14ac:dyDescent="0.25">
      <c r="A34" s="7">
        <v>3</v>
      </c>
      <c r="B34" s="7" t="s">
        <v>433</v>
      </c>
      <c r="C34" s="7" t="s">
        <v>508</v>
      </c>
      <c r="D34" s="7" t="s">
        <v>326</v>
      </c>
      <c r="E34" s="17"/>
      <c r="F34" s="17" t="s">
        <v>319</v>
      </c>
      <c r="G34" s="13">
        <v>11566147</v>
      </c>
      <c r="H34" s="13">
        <v>59167</v>
      </c>
      <c r="I34" s="13">
        <v>1550054</v>
      </c>
      <c r="J34" s="13">
        <v>5310847</v>
      </c>
      <c r="K34" s="13">
        <v>1466286</v>
      </c>
      <c r="L34" s="13">
        <v>2074525</v>
      </c>
      <c r="M34" s="13">
        <v>388701</v>
      </c>
      <c r="N34" s="13">
        <v>9850400</v>
      </c>
      <c r="O34" s="19">
        <v>0.21099999999999999</v>
      </c>
      <c r="P34" s="13">
        <v>0</v>
      </c>
      <c r="Q34" s="21">
        <f>594515/9834873</f>
        <v>6.0449687555701022E-2</v>
      </c>
      <c r="R34" s="13">
        <v>594516</v>
      </c>
      <c r="S34" s="13">
        <v>0</v>
      </c>
      <c r="T34" s="13">
        <v>267531</v>
      </c>
      <c r="U34" s="13">
        <v>28275</v>
      </c>
      <c r="V34" s="13">
        <v>41075</v>
      </c>
      <c r="W34" s="13">
        <v>41160</v>
      </c>
      <c r="X34" s="13">
        <v>4511</v>
      </c>
      <c r="Y34" s="13">
        <v>41520</v>
      </c>
      <c r="Z34" s="13">
        <v>42075</v>
      </c>
      <c r="AA34" s="13">
        <f>4646+14157+9576</f>
        <v>28379</v>
      </c>
      <c r="AB34" s="13">
        <v>3991</v>
      </c>
      <c r="AC34" s="13">
        <v>4178</v>
      </c>
      <c r="AD34" s="13">
        <v>1357</v>
      </c>
      <c r="AE34" s="13">
        <v>154486</v>
      </c>
      <c r="AF34" s="13">
        <v>547192</v>
      </c>
      <c r="AG34" s="19">
        <f t="shared" si="5"/>
        <v>0.28232503399172504</v>
      </c>
      <c r="AH34" s="13">
        <v>62466</v>
      </c>
      <c r="AI34" s="13">
        <v>124333</v>
      </c>
      <c r="AJ34" s="13">
        <v>0</v>
      </c>
      <c r="AK34" s="13">
        <v>63134</v>
      </c>
      <c r="AL34" s="13">
        <v>0</v>
      </c>
      <c r="AM34" s="13">
        <v>0</v>
      </c>
      <c r="AN34" s="13">
        <v>0</v>
      </c>
      <c r="AO34" s="13">
        <v>3936</v>
      </c>
      <c r="AP34" s="13">
        <v>2539</v>
      </c>
      <c r="AQ34" s="13">
        <v>-103</v>
      </c>
      <c r="AR34" s="13">
        <v>-2228</v>
      </c>
      <c r="AS34" s="13">
        <v>-324</v>
      </c>
      <c r="AT34" s="13">
        <v>-1</v>
      </c>
      <c r="AU34" s="13">
        <f t="shared" si="6"/>
        <v>3819</v>
      </c>
      <c r="AV34" s="13">
        <v>3651</v>
      </c>
      <c r="AW34" s="13">
        <v>1790</v>
      </c>
      <c r="AX34" s="13">
        <v>-70</v>
      </c>
      <c r="AY34" s="13">
        <v>-1184</v>
      </c>
      <c r="AZ34" s="13">
        <v>-250</v>
      </c>
      <c r="BA34" s="13">
        <v>-1</v>
      </c>
      <c r="BB34" s="13">
        <f t="shared" si="7"/>
        <v>3936</v>
      </c>
      <c r="BC34" s="13">
        <v>31</v>
      </c>
    </row>
    <row r="35" spans="1:55" x14ac:dyDescent="0.25">
      <c r="A35" s="7">
        <v>3</v>
      </c>
      <c r="B35" s="7" t="s">
        <v>452</v>
      </c>
      <c r="C35" s="7" t="s">
        <v>373</v>
      </c>
      <c r="D35" s="7" t="s">
        <v>358</v>
      </c>
      <c r="E35" s="17" t="s">
        <v>143</v>
      </c>
      <c r="F35" s="17" t="s">
        <v>368</v>
      </c>
      <c r="G35" s="13">
        <v>14386395</v>
      </c>
      <c r="H35" s="13">
        <v>84250</v>
      </c>
      <c r="I35" s="13">
        <v>1528865</v>
      </c>
      <c r="J35" s="13">
        <v>7816283</v>
      </c>
      <c r="K35" s="13">
        <v>963220</v>
      </c>
      <c r="L35" s="13">
        <v>1633944</v>
      </c>
      <c r="M35" s="13">
        <v>781562</v>
      </c>
      <c r="N35" s="13">
        <v>12008726</v>
      </c>
      <c r="O35" s="19">
        <v>0.253</v>
      </c>
      <c r="P35" s="13">
        <v>0</v>
      </c>
      <c r="Q35" s="21">
        <f>752595/11947945</f>
        <v>6.2989493172256814E-2</v>
      </c>
      <c r="R35" s="13">
        <v>752595</v>
      </c>
      <c r="S35" s="13">
        <v>0</v>
      </c>
      <c r="T35" s="13">
        <v>397605</v>
      </c>
      <c r="U35" s="13">
        <v>34048</v>
      </c>
      <c r="V35" s="13">
        <v>76588</v>
      </c>
      <c r="W35" s="13">
        <v>65861</v>
      </c>
      <c r="X35" s="13">
        <v>31369</v>
      </c>
      <c r="Y35" s="13">
        <v>48952</v>
      </c>
      <c r="Z35" s="13">
        <v>0</v>
      </c>
      <c r="AA35" s="13">
        <f>8321+34519+21072</f>
        <v>63912</v>
      </c>
      <c r="AB35" s="13">
        <v>4100</v>
      </c>
      <c r="AC35" s="13">
        <v>7990</v>
      </c>
      <c r="AD35" s="13">
        <v>11019</v>
      </c>
      <c r="AE35" s="13">
        <v>2506</v>
      </c>
      <c r="AF35" s="13">
        <v>779195</v>
      </c>
      <c r="AG35" s="19">
        <f t="shared" si="5"/>
        <v>3.2161397339561986E-3</v>
      </c>
      <c r="AH35" s="13">
        <v>84146</v>
      </c>
      <c r="AI35" s="13">
        <v>124333</v>
      </c>
      <c r="AJ35" s="13">
        <v>0</v>
      </c>
      <c r="AK35" s="13">
        <v>78636</v>
      </c>
      <c r="AL35" s="13">
        <v>0</v>
      </c>
      <c r="AM35" s="13">
        <v>0</v>
      </c>
      <c r="AN35" s="13">
        <v>0</v>
      </c>
      <c r="AO35" s="13">
        <v>6288</v>
      </c>
      <c r="AP35" s="13">
        <v>3963</v>
      </c>
      <c r="AQ35" s="13">
        <v>-169</v>
      </c>
      <c r="AR35" s="13">
        <v>-3101</v>
      </c>
      <c r="AS35" s="13">
        <v>-767</v>
      </c>
      <c r="AT35" s="13">
        <f>4+38-10</f>
        <v>32</v>
      </c>
      <c r="AU35" s="13">
        <f t="shared" si="6"/>
        <v>6246</v>
      </c>
      <c r="AV35" s="13">
        <v>6654</v>
      </c>
      <c r="AW35" s="13">
        <v>3488</v>
      </c>
      <c r="AX35" s="13">
        <v>-145</v>
      </c>
      <c r="AY35" s="13">
        <v>-2995</v>
      </c>
      <c r="AZ35" s="13">
        <v>-742</v>
      </c>
      <c r="BA35" s="13">
        <f>7+29-8</f>
        <v>28</v>
      </c>
      <c r="BB35" s="13">
        <f t="shared" si="7"/>
        <v>6288</v>
      </c>
      <c r="BC35" s="13">
        <v>7</v>
      </c>
    </row>
    <row r="36" spans="1:55" x14ac:dyDescent="0.25">
      <c r="A36" s="7">
        <v>3</v>
      </c>
      <c r="B36" s="7" t="s">
        <v>525</v>
      </c>
      <c r="C36" s="7" t="s">
        <v>271</v>
      </c>
      <c r="D36" s="7" t="s">
        <v>326</v>
      </c>
      <c r="E36" s="17"/>
      <c r="F36" s="17" t="s">
        <v>319</v>
      </c>
      <c r="G36" s="13">
        <v>28913011</v>
      </c>
      <c r="H36" s="13">
        <v>102617</v>
      </c>
      <c r="I36" s="13">
        <v>1628626</v>
      </c>
      <c r="J36" s="13">
        <v>15652675</v>
      </c>
      <c r="K36" s="13">
        <v>3759779</v>
      </c>
      <c r="L36" s="13">
        <v>3846108</v>
      </c>
      <c r="M36" s="13">
        <v>1930284</v>
      </c>
      <c r="N36" s="13">
        <v>26118189</v>
      </c>
      <c r="O36" s="19">
        <v>0.15659999999999999</v>
      </c>
      <c r="P36" s="13">
        <f>335627+10042</f>
        <v>345669</v>
      </c>
      <c r="Q36" s="21">
        <f>928565/25772520</f>
        <v>3.6029266831493392E-2</v>
      </c>
      <c r="R36" s="13">
        <v>929343</v>
      </c>
      <c r="S36" s="13">
        <v>0</v>
      </c>
      <c r="T36" s="13">
        <v>462262</v>
      </c>
      <c r="U36" s="13">
        <v>43775</v>
      </c>
      <c r="V36" s="13">
        <v>75533</v>
      </c>
      <c r="W36" s="13">
        <f>38281+8208</f>
        <v>46489</v>
      </c>
      <c r="X36" s="13">
        <v>40944</v>
      </c>
      <c r="Y36" s="13">
        <v>21286</v>
      </c>
      <c r="Z36" s="13">
        <v>5205</v>
      </c>
      <c r="AA36" s="13">
        <f>12713+49231+34278</f>
        <v>96222</v>
      </c>
      <c r="AB36" s="13">
        <v>4707</v>
      </c>
      <c r="AC36" s="13">
        <v>20402</v>
      </c>
      <c r="AD36" s="13">
        <v>19518</v>
      </c>
      <c r="AE36" s="13">
        <v>19020</v>
      </c>
      <c r="AF36" s="13">
        <v>903242</v>
      </c>
      <c r="AG36" s="19">
        <f t="shared" si="5"/>
        <v>2.1057479612329809E-2</v>
      </c>
      <c r="AH36" s="13">
        <v>153400</v>
      </c>
      <c r="AI36" s="13">
        <v>124333</v>
      </c>
      <c r="AJ36" s="13">
        <v>0</v>
      </c>
      <c r="AK36" s="13">
        <v>157850</v>
      </c>
      <c r="AL36" s="13">
        <v>4299</v>
      </c>
      <c r="AM36" s="13">
        <v>4299</v>
      </c>
      <c r="AN36" s="13">
        <v>0</v>
      </c>
      <c r="AO36" s="13">
        <v>8505</v>
      </c>
      <c r="AP36" s="13">
        <v>7125</v>
      </c>
      <c r="AQ36" s="13">
        <v>-483</v>
      </c>
      <c r="AR36" s="13">
        <v>-4087</v>
      </c>
      <c r="AS36" s="13">
        <v>-1143</v>
      </c>
      <c r="AT36" s="13">
        <f>66-3</f>
        <v>63</v>
      </c>
      <c r="AU36" s="13">
        <f t="shared" si="6"/>
        <v>9980</v>
      </c>
      <c r="AV36" s="13">
        <v>8150</v>
      </c>
      <c r="AW36" s="13">
        <v>5166</v>
      </c>
      <c r="AX36" s="13">
        <v>-444</v>
      </c>
      <c r="AY36" s="13">
        <v>-3593</v>
      </c>
      <c r="AZ36" s="13">
        <v>-822</v>
      </c>
      <c r="BA36" s="13">
        <v>48</v>
      </c>
      <c r="BB36" s="13">
        <f t="shared" si="7"/>
        <v>8505</v>
      </c>
      <c r="BC36" s="13">
        <v>104</v>
      </c>
    </row>
    <row r="37" spans="1:55" x14ac:dyDescent="0.25">
      <c r="A37" s="7">
        <v>4</v>
      </c>
      <c r="B37" s="7" t="s">
        <v>72</v>
      </c>
      <c r="C37" s="7" t="s">
        <v>100</v>
      </c>
      <c r="D37" s="7" t="s">
        <v>431</v>
      </c>
      <c r="E37" s="17"/>
      <c r="F37" s="17" t="s">
        <v>447</v>
      </c>
      <c r="G37" s="13">
        <v>3295678</v>
      </c>
      <c r="H37" s="13">
        <v>6282</v>
      </c>
      <c r="I37" s="13">
        <v>77040</v>
      </c>
      <c r="J37" s="13">
        <v>1714582</v>
      </c>
      <c r="K37" s="13">
        <v>110016</v>
      </c>
      <c r="L37" s="13">
        <v>881098</v>
      </c>
      <c r="M37" s="13">
        <v>102813</v>
      </c>
      <c r="N37" s="13">
        <v>3123335</v>
      </c>
      <c r="O37" s="19">
        <v>0.09</v>
      </c>
      <c r="P37" s="13">
        <v>0</v>
      </c>
      <c r="Q37" s="21">
        <f>312039/3120388</f>
        <v>0.10000006409459336</v>
      </c>
      <c r="R37" s="13">
        <v>311879</v>
      </c>
      <c r="S37" s="13">
        <v>0</v>
      </c>
      <c r="T37" s="13">
        <v>94525</v>
      </c>
      <c r="U37" s="13">
        <v>7889</v>
      </c>
      <c r="V37" s="13">
        <v>20922</v>
      </c>
      <c r="W37" s="13">
        <v>26181</v>
      </c>
      <c r="X37" s="13">
        <v>0</v>
      </c>
      <c r="Y37" s="13">
        <v>7497</v>
      </c>
      <c r="Z37" s="13">
        <v>0</v>
      </c>
      <c r="AA37" s="13">
        <f>5319+9997+6194</f>
        <v>21510</v>
      </c>
      <c r="AB37" s="13">
        <v>2118</v>
      </c>
      <c r="AC37" s="13">
        <v>0</v>
      </c>
      <c r="AD37" s="13">
        <v>4740</v>
      </c>
      <c r="AE37" s="13">
        <v>1679</v>
      </c>
      <c r="AF37" s="13">
        <v>215486</v>
      </c>
      <c r="AG37" s="19">
        <f t="shared" si="5"/>
        <v>7.7916894833075E-3</v>
      </c>
      <c r="AH37" s="13">
        <v>35455</v>
      </c>
      <c r="AI37" s="13">
        <v>124329</v>
      </c>
      <c r="AJ37" s="13">
        <v>0</v>
      </c>
      <c r="AK37" s="13">
        <v>16995</v>
      </c>
      <c r="AL37" s="13">
        <v>0</v>
      </c>
      <c r="AM37" s="13">
        <v>0</v>
      </c>
      <c r="AN37" s="13">
        <v>0</v>
      </c>
      <c r="AO37" s="13">
        <v>768</v>
      </c>
      <c r="AP37" s="13">
        <v>369</v>
      </c>
      <c r="AQ37" s="13">
        <v>-78</v>
      </c>
      <c r="AR37" s="13">
        <v>-131</v>
      </c>
      <c r="AS37" s="13">
        <v>-159</v>
      </c>
      <c r="AT37" s="13">
        <v>0</v>
      </c>
      <c r="AU37" s="13">
        <f t="shared" si="6"/>
        <v>769</v>
      </c>
      <c r="AV37" s="13">
        <v>832</v>
      </c>
      <c r="AW37" s="13">
        <v>299</v>
      </c>
      <c r="AX37" s="13">
        <v>-38</v>
      </c>
      <c r="AY37" s="13">
        <v>-112</v>
      </c>
      <c r="AZ37" s="13">
        <v>-213</v>
      </c>
      <c r="BA37" s="13">
        <f>1+2-3</f>
        <v>0</v>
      </c>
      <c r="BB37" s="13">
        <f t="shared" si="7"/>
        <v>768</v>
      </c>
      <c r="BC37" s="13">
        <v>0</v>
      </c>
    </row>
    <row r="38" spans="1:55" x14ac:dyDescent="0.25">
      <c r="A38" s="7">
        <v>4</v>
      </c>
      <c r="B38" s="7" t="s">
        <v>84</v>
      </c>
      <c r="C38" s="7" t="s">
        <v>82</v>
      </c>
      <c r="D38" s="7" t="s">
        <v>528</v>
      </c>
      <c r="E38" s="7" t="s">
        <v>332</v>
      </c>
      <c r="F38" s="7" t="s">
        <v>511</v>
      </c>
      <c r="G38" s="13">
        <v>5829277</v>
      </c>
      <c r="H38" s="13">
        <v>26244</v>
      </c>
      <c r="I38" s="13">
        <v>152953</v>
      </c>
      <c r="J38" s="13">
        <v>2796814</v>
      </c>
      <c r="K38" s="13">
        <v>1018222</v>
      </c>
      <c r="L38" s="13">
        <v>1419063</v>
      </c>
      <c r="M38" s="13">
        <v>245205</v>
      </c>
      <c r="N38" s="13">
        <v>5867442</v>
      </c>
      <c r="O38" s="19">
        <v>3.9E-2</v>
      </c>
      <c r="P38" s="13">
        <v>0</v>
      </c>
      <c r="Q38" s="21">
        <f>390525/5867442</f>
        <v>6.6557965123472881E-2</v>
      </c>
      <c r="R38" s="13">
        <v>388138</v>
      </c>
      <c r="S38" s="13">
        <v>0</v>
      </c>
      <c r="T38" s="13">
        <v>111198</v>
      </c>
      <c r="U38" s="13">
        <v>10064</v>
      </c>
      <c r="V38" s="13">
        <v>6006</v>
      </c>
      <c r="W38" s="13">
        <v>15420</v>
      </c>
      <c r="X38" s="13">
        <v>9270</v>
      </c>
      <c r="Y38" s="13">
        <v>64751</v>
      </c>
      <c r="Z38" s="2">
        <v>0</v>
      </c>
      <c r="AA38" s="13">
        <f>5100+12870+4187</f>
        <v>22157</v>
      </c>
      <c r="AB38" s="13">
        <v>0</v>
      </c>
      <c r="AC38" s="13">
        <v>2910</v>
      </c>
      <c r="AD38" s="13">
        <f>500+710</f>
        <v>1210</v>
      </c>
      <c r="AE38" s="13">
        <v>0</v>
      </c>
      <c r="AF38" s="13">
        <v>260429</v>
      </c>
      <c r="AG38" s="19">
        <f t="shared" si="5"/>
        <v>0</v>
      </c>
      <c r="AH38" s="13">
        <v>21036</v>
      </c>
      <c r="AI38" s="13">
        <v>124333</v>
      </c>
      <c r="AJ38" s="13">
        <v>0</v>
      </c>
      <c r="AK38" s="13">
        <v>51997</v>
      </c>
      <c r="AL38" s="13">
        <v>7724</v>
      </c>
      <c r="AM38" s="13">
        <v>7724</v>
      </c>
      <c r="AN38" s="13">
        <v>0</v>
      </c>
      <c r="AO38" s="13">
        <v>1315</v>
      </c>
      <c r="AP38" s="13">
        <v>470</v>
      </c>
      <c r="AQ38" s="13">
        <v>-121</v>
      </c>
      <c r="AR38" s="13">
        <v>-109</v>
      </c>
      <c r="AS38" s="13">
        <v>-283</v>
      </c>
      <c r="AT38" s="13">
        <v>-2</v>
      </c>
      <c r="AU38" s="13">
        <f t="shared" si="6"/>
        <v>1270</v>
      </c>
      <c r="AV38" s="13">
        <v>1339</v>
      </c>
      <c r="AW38" s="13">
        <v>448</v>
      </c>
      <c r="AX38" s="13">
        <v>-119</v>
      </c>
      <c r="AY38" s="13">
        <v>-67</v>
      </c>
      <c r="AZ38" s="13">
        <v>-285</v>
      </c>
      <c r="BA38" s="13">
        <v>-1</v>
      </c>
      <c r="BB38" s="13">
        <f t="shared" si="7"/>
        <v>1315</v>
      </c>
      <c r="BC38" s="13">
        <v>66</v>
      </c>
    </row>
    <row r="39" spans="1:55" x14ac:dyDescent="0.25">
      <c r="A39" s="7">
        <v>4</v>
      </c>
      <c r="B39" s="7" t="s">
        <v>111</v>
      </c>
      <c r="C39" s="7" t="s">
        <v>37</v>
      </c>
      <c r="D39" s="7" t="s">
        <v>279</v>
      </c>
      <c r="E39" s="17"/>
      <c r="F39" s="17" t="s">
        <v>272</v>
      </c>
      <c r="G39" s="13">
        <v>13771829</v>
      </c>
      <c r="H39" s="13">
        <v>48028</v>
      </c>
      <c r="I39" s="13">
        <v>1298569</v>
      </c>
      <c r="J39" s="13">
        <v>4580822</v>
      </c>
      <c r="K39" s="13">
        <v>1423322</v>
      </c>
      <c r="L39" s="13">
        <v>4982086</v>
      </c>
      <c r="M39" s="13">
        <v>708040</v>
      </c>
      <c r="N39" s="13">
        <v>12560307</v>
      </c>
      <c r="O39" s="19">
        <v>0.16</v>
      </c>
      <c r="P39" s="13">
        <v>0</v>
      </c>
      <c r="Q39" s="21">
        <f>812989/12508393</f>
        <v>6.4995479435287967E-2</v>
      </c>
      <c r="R39" s="13">
        <v>813187</v>
      </c>
      <c r="S39" s="13">
        <v>0</v>
      </c>
      <c r="T39" s="13">
        <v>429018</v>
      </c>
      <c r="U39" s="13">
        <v>36649</v>
      </c>
      <c r="V39" s="13">
        <v>46039</v>
      </c>
      <c r="W39" s="13">
        <v>83591</v>
      </c>
      <c r="X39" s="13">
        <v>2127</v>
      </c>
      <c r="Y39" s="13">
        <v>108798</v>
      </c>
      <c r="Z39" s="13">
        <v>16439</v>
      </c>
      <c r="AA39" s="13">
        <f>4515+14878+20011</f>
        <v>39404</v>
      </c>
      <c r="AB39" s="13">
        <v>8044</v>
      </c>
      <c r="AC39" s="13">
        <v>12461</v>
      </c>
      <c r="AD39" s="13">
        <f>13646+3600</f>
        <v>17246</v>
      </c>
      <c r="AE39" s="13">
        <v>0</v>
      </c>
      <c r="AF39" s="13">
        <v>820947</v>
      </c>
      <c r="AG39" s="19">
        <f t="shared" si="5"/>
        <v>0</v>
      </c>
      <c r="AH39" s="13">
        <v>98929</v>
      </c>
      <c r="AI39" s="13">
        <v>124333</v>
      </c>
      <c r="AJ39" s="13">
        <v>0</v>
      </c>
      <c r="AK39" s="13">
        <v>86301</v>
      </c>
      <c r="AL39" s="13">
        <v>0</v>
      </c>
      <c r="AM39" s="13">
        <v>0</v>
      </c>
      <c r="AN39" s="13">
        <v>0</v>
      </c>
      <c r="AO39" s="13">
        <v>4336</v>
      </c>
      <c r="AP39" s="13">
        <v>2806</v>
      </c>
      <c r="AQ39" s="13">
        <v>-398</v>
      </c>
      <c r="AR39" s="13">
        <v>-1274</v>
      </c>
      <c r="AS39" s="13">
        <v>-684</v>
      </c>
      <c r="AT39" s="13"/>
      <c r="AU39" s="13">
        <f t="shared" si="6"/>
        <v>4786</v>
      </c>
      <c r="AV39" s="13">
        <v>4527</v>
      </c>
      <c r="AW39" s="13">
        <v>2139</v>
      </c>
      <c r="AX39" s="13">
        <v>-409</v>
      </c>
      <c r="AY39" s="13">
        <v>-1266</v>
      </c>
      <c r="AZ39" s="13">
        <v>-655</v>
      </c>
      <c r="BA39" s="13"/>
      <c r="BB39" s="13">
        <f t="shared" si="7"/>
        <v>4336</v>
      </c>
      <c r="BC39" s="13">
        <v>31</v>
      </c>
    </row>
    <row r="40" spans="1:55" x14ac:dyDescent="0.25">
      <c r="A40" s="7">
        <v>4</v>
      </c>
      <c r="B40" s="7" t="s">
        <v>211</v>
      </c>
      <c r="C40" s="7" t="s">
        <v>402</v>
      </c>
      <c r="D40" s="7" t="s">
        <v>497</v>
      </c>
      <c r="E40" s="17" t="s">
        <v>143</v>
      </c>
      <c r="F40" s="17" t="s">
        <v>499</v>
      </c>
      <c r="G40" s="13">
        <v>11485629</v>
      </c>
      <c r="H40" s="13">
        <v>17974</v>
      </c>
      <c r="I40" s="13">
        <v>358724</v>
      </c>
      <c r="J40" s="13">
        <v>5529671</v>
      </c>
      <c r="K40" s="13">
        <v>946440</v>
      </c>
      <c r="L40" s="13">
        <v>3107509</v>
      </c>
      <c r="M40" s="13">
        <v>787930</v>
      </c>
      <c r="N40" s="13">
        <v>10921146</v>
      </c>
      <c r="O40" s="19">
        <v>0.123</v>
      </c>
      <c r="P40" s="13">
        <v>603</v>
      </c>
      <c r="Q40" s="21">
        <f>544185/10915651</f>
        <v>4.9853645925469765E-2</v>
      </c>
      <c r="R40" s="13">
        <v>543883</v>
      </c>
      <c r="S40" s="13">
        <v>0</v>
      </c>
      <c r="T40" s="13">
        <v>176964</v>
      </c>
      <c r="U40" s="13">
        <v>14580</v>
      </c>
      <c r="V40" s="13">
        <v>42811</v>
      </c>
      <c r="W40" s="13">
        <v>36757</v>
      </c>
      <c r="X40" s="13">
        <v>11830</v>
      </c>
      <c r="Y40" s="13">
        <v>15543</v>
      </c>
      <c r="Z40" s="13">
        <v>0</v>
      </c>
      <c r="AA40" s="13">
        <f>8240+18491+16793</f>
        <v>43524</v>
      </c>
      <c r="AB40" s="13">
        <v>3521</v>
      </c>
      <c r="AC40" s="13">
        <v>10528</v>
      </c>
      <c r="AD40" s="13">
        <v>6166</v>
      </c>
      <c r="AE40" s="13">
        <v>47609</v>
      </c>
      <c r="AF40" s="13">
        <v>388908</v>
      </c>
      <c r="AG40" s="19">
        <f t="shared" si="5"/>
        <v>0.12241712692976231</v>
      </c>
      <c r="AH40" s="13">
        <v>37041</v>
      </c>
      <c r="AI40" s="13">
        <v>124333</v>
      </c>
      <c r="AJ40" s="13">
        <v>0</v>
      </c>
      <c r="AK40" s="13">
        <v>91550</v>
      </c>
      <c r="AL40" s="13">
        <v>25436</v>
      </c>
      <c r="AM40" s="13">
        <v>25436</v>
      </c>
      <c r="AN40" s="13">
        <v>0</v>
      </c>
      <c r="AO40" s="13">
        <f>2810+7</f>
        <v>2817</v>
      </c>
      <c r="AP40" s="13">
        <v>1725</v>
      </c>
      <c r="AQ40" s="13">
        <v>-169</v>
      </c>
      <c r="AR40" s="13">
        <v>-594</v>
      </c>
      <c r="AS40" s="13">
        <v>-475</v>
      </c>
      <c r="AT40" s="13">
        <v>-36</v>
      </c>
      <c r="AU40" s="13">
        <f t="shared" si="6"/>
        <v>3268</v>
      </c>
      <c r="AV40" s="13">
        <f>2650+13</f>
        <v>2663</v>
      </c>
      <c r="AW40" s="13">
        <v>1294</v>
      </c>
      <c r="AX40" s="13">
        <v>-137</v>
      </c>
      <c r="AY40" s="13">
        <v>-540</v>
      </c>
      <c r="AZ40" s="13">
        <v>-450</v>
      </c>
      <c r="BA40" s="13">
        <v>-20</v>
      </c>
      <c r="BB40" s="13">
        <f t="shared" si="7"/>
        <v>2810</v>
      </c>
      <c r="BC40" s="13">
        <v>12</v>
      </c>
    </row>
    <row r="41" spans="1:55" x14ac:dyDescent="0.25">
      <c r="A41" s="7">
        <v>4</v>
      </c>
      <c r="B41" s="7" t="s">
        <v>245</v>
      </c>
      <c r="C41" s="7" t="s">
        <v>59</v>
      </c>
      <c r="D41" s="7" t="s">
        <v>279</v>
      </c>
      <c r="E41" s="17"/>
      <c r="F41" s="17" t="s">
        <v>272</v>
      </c>
      <c r="G41" s="13">
        <v>15196350</v>
      </c>
      <c r="H41" s="13">
        <v>45570</v>
      </c>
      <c r="I41" s="13">
        <v>1339347</v>
      </c>
      <c r="J41" s="13">
        <v>6547521</v>
      </c>
      <c r="K41" s="13">
        <v>2245276</v>
      </c>
      <c r="L41" s="13">
        <v>3676628</v>
      </c>
      <c r="M41" s="13">
        <v>361776</v>
      </c>
      <c r="N41" s="13">
        <v>13531303</v>
      </c>
      <c r="O41" s="19">
        <v>0.11</v>
      </c>
      <c r="P41" s="13">
        <v>0</v>
      </c>
      <c r="Q41" s="21">
        <f>680916/13512053</f>
        <v>5.0393230399555122E-2</v>
      </c>
      <c r="R41" s="13">
        <v>680852</v>
      </c>
      <c r="S41" s="13">
        <v>0</v>
      </c>
      <c r="T41" s="13">
        <v>233946</v>
      </c>
      <c r="U41" s="13">
        <v>19472</v>
      </c>
      <c r="V41" s="13">
        <v>47507</v>
      </c>
      <c r="W41" s="13">
        <f>55524+3871</f>
        <v>59395</v>
      </c>
      <c r="X41" s="13">
        <v>26672</v>
      </c>
      <c r="Y41" s="13">
        <v>78619</v>
      </c>
      <c r="Z41" s="13">
        <v>0</v>
      </c>
      <c r="AA41" s="13">
        <f>4743+34279+23712</f>
        <v>62734</v>
      </c>
      <c r="AB41" s="13">
        <v>6106</v>
      </c>
      <c r="AC41" s="13">
        <v>4124</v>
      </c>
      <c r="AD41" s="13">
        <v>58988</v>
      </c>
      <c r="AE41" s="13">
        <v>383719</v>
      </c>
      <c r="AF41" s="13">
        <v>618851</v>
      </c>
      <c r="AG41" s="19">
        <f t="shared" si="5"/>
        <v>0.62005070687451425</v>
      </c>
      <c r="AH41" s="13">
        <v>64049</v>
      </c>
      <c r="AI41" s="13">
        <v>124333</v>
      </c>
      <c r="AJ41" s="13">
        <v>0</v>
      </c>
      <c r="AK41" s="13">
        <v>69749</v>
      </c>
      <c r="AL41" s="13">
        <v>0</v>
      </c>
      <c r="AM41" s="13">
        <v>0</v>
      </c>
      <c r="AN41" s="13">
        <v>0</v>
      </c>
      <c r="AO41" s="13">
        <v>3811</v>
      </c>
      <c r="AP41" s="13">
        <v>2929</v>
      </c>
      <c r="AQ41" s="13">
        <v>-452</v>
      </c>
      <c r="AR41" s="13">
        <v>-1298</v>
      </c>
      <c r="AS41" s="13">
        <v>-412</v>
      </c>
      <c r="AT41" s="13">
        <f>1+10</f>
        <v>11</v>
      </c>
      <c r="AU41" s="13">
        <f t="shared" si="6"/>
        <v>4589</v>
      </c>
      <c r="AV41" s="13">
        <v>3495</v>
      </c>
      <c r="AW41" s="13">
        <v>2360</v>
      </c>
      <c r="AX41" s="13">
        <v>-356</v>
      </c>
      <c r="AY41" s="13">
        <v>-1087</v>
      </c>
      <c r="AZ41" s="13">
        <v>-611</v>
      </c>
      <c r="BA41" s="13">
        <v>10</v>
      </c>
      <c r="BB41" s="13">
        <f t="shared" si="7"/>
        <v>3811</v>
      </c>
      <c r="BC41" s="13">
        <v>17</v>
      </c>
    </row>
    <row r="42" spans="1:55" x14ac:dyDescent="0.25">
      <c r="A42" s="7">
        <v>4</v>
      </c>
      <c r="B42" s="7" t="s">
        <v>254</v>
      </c>
      <c r="C42" s="7" t="s">
        <v>378</v>
      </c>
      <c r="D42" s="7" t="s">
        <v>497</v>
      </c>
      <c r="E42" s="17" t="s">
        <v>143</v>
      </c>
      <c r="F42" s="17" t="s">
        <v>499</v>
      </c>
      <c r="G42" s="13">
        <v>5416572</v>
      </c>
      <c r="H42" s="13">
        <v>9027</v>
      </c>
      <c r="I42" s="13">
        <v>122640</v>
      </c>
      <c r="J42" s="13">
        <v>2531989</v>
      </c>
      <c r="K42" s="13">
        <v>718885</v>
      </c>
      <c r="L42" s="13">
        <v>855695</v>
      </c>
      <c r="M42" s="13">
        <v>692814</v>
      </c>
      <c r="N42" s="13">
        <v>5188868</v>
      </c>
      <c r="O42" s="19">
        <v>0.04</v>
      </c>
      <c r="P42" s="13">
        <v>25769</v>
      </c>
      <c r="Q42" s="21">
        <f>363159/5163099</f>
        <v>7.0337407824254392E-2</v>
      </c>
      <c r="R42" s="13">
        <v>363716</v>
      </c>
      <c r="S42" s="13">
        <v>0</v>
      </c>
      <c r="T42" s="13">
        <v>124574</v>
      </c>
      <c r="U42" s="13">
        <v>9535</v>
      </c>
      <c r="V42" s="13">
        <v>4893</v>
      </c>
      <c r="W42" s="13">
        <v>17679</v>
      </c>
      <c r="X42" s="13">
        <v>6610</v>
      </c>
      <c r="Y42" s="13">
        <v>32481</v>
      </c>
      <c r="Z42" s="13">
        <v>0</v>
      </c>
      <c r="AA42" s="13">
        <f>4337+9777+7626</f>
        <v>21740</v>
      </c>
      <c r="AB42" s="13">
        <v>3747</v>
      </c>
      <c r="AC42" s="13">
        <v>1296</v>
      </c>
      <c r="AD42" s="13">
        <v>13670</v>
      </c>
      <c r="AE42" s="13">
        <v>0</v>
      </c>
      <c r="AF42" s="13">
        <v>249054</v>
      </c>
      <c r="AG42" s="19">
        <f t="shared" si="5"/>
        <v>0</v>
      </c>
      <c r="AH42" s="13">
        <v>132273</v>
      </c>
      <c r="AI42" s="13">
        <v>124333</v>
      </c>
      <c r="AJ42" s="13">
        <v>0</v>
      </c>
      <c r="AK42" s="13">
        <v>135396</v>
      </c>
      <c r="AL42" s="13">
        <v>0</v>
      </c>
      <c r="AM42" s="13">
        <v>0</v>
      </c>
      <c r="AN42" s="13">
        <v>0</v>
      </c>
      <c r="AO42" s="13">
        <v>1422</v>
      </c>
      <c r="AP42" s="13">
        <v>1106</v>
      </c>
      <c r="AQ42" s="13">
        <v>-90</v>
      </c>
      <c r="AR42" s="13">
        <v>-224</v>
      </c>
      <c r="AS42" s="13">
        <v>-207</v>
      </c>
      <c r="AT42" s="13">
        <v>-218</v>
      </c>
      <c r="AU42" s="13">
        <f t="shared" si="6"/>
        <v>1789</v>
      </c>
      <c r="AV42" s="13">
        <v>1139</v>
      </c>
      <c r="AW42" s="13">
        <v>729</v>
      </c>
      <c r="AX42" s="13">
        <v>-107</v>
      </c>
      <c r="AY42" s="13">
        <v>-144</v>
      </c>
      <c r="AZ42" s="13">
        <v>-195</v>
      </c>
      <c r="BA42" s="13">
        <v>0</v>
      </c>
      <c r="BB42" s="13">
        <f t="shared" si="7"/>
        <v>1422</v>
      </c>
      <c r="BC42" s="13">
        <v>1</v>
      </c>
    </row>
    <row r="43" spans="1:55" x14ac:dyDescent="0.25">
      <c r="A43" s="7">
        <v>4</v>
      </c>
      <c r="B43" s="7" t="s">
        <v>255</v>
      </c>
      <c r="C43" s="7" t="s">
        <v>100</v>
      </c>
      <c r="D43" s="7" t="s">
        <v>431</v>
      </c>
      <c r="E43" s="17"/>
      <c r="F43" s="17" t="s">
        <v>447</v>
      </c>
      <c r="G43" s="13">
        <v>10580372</v>
      </c>
      <c r="H43" s="13">
        <v>24982</v>
      </c>
      <c r="I43" s="13">
        <v>209776</v>
      </c>
      <c r="J43" s="13">
        <v>6493245</v>
      </c>
      <c r="K43" s="13">
        <v>571886</v>
      </c>
      <c r="L43" s="13">
        <v>2196577</v>
      </c>
      <c r="M43" s="13">
        <v>352362</v>
      </c>
      <c r="N43" s="13">
        <v>10173186</v>
      </c>
      <c r="O43" s="19">
        <v>0.08</v>
      </c>
      <c r="P43" s="13">
        <v>335</v>
      </c>
      <c r="Q43" s="21">
        <f>549842/10167351</f>
        <v>5.4079179522768514E-2</v>
      </c>
      <c r="R43" s="13">
        <v>547915</v>
      </c>
      <c r="S43" s="13">
        <v>0</v>
      </c>
      <c r="T43" s="13">
        <v>210293</v>
      </c>
      <c r="U43" s="13">
        <v>17283</v>
      </c>
      <c r="V43" s="13">
        <v>25911</v>
      </c>
      <c r="W43" s="13">
        <f>33576+4744</f>
        <v>38320</v>
      </c>
      <c r="X43" s="13">
        <v>126</v>
      </c>
      <c r="Y43" s="13">
        <v>16716</v>
      </c>
      <c r="Z43" s="13">
        <v>0</v>
      </c>
      <c r="AA43" s="13">
        <f>6967+32975+30585</f>
        <v>70527</v>
      </c>
      <c r="AB43" s="13">
        <v>2336</v>
      </c>
      <c r="AC43" s="13">
        <v>0</v>
      </c>
      <c r="AD43" s="13">
        <v>6870</v>
      </c>
      <c r="AE43" s="13">
        <v>33576</v>
      </c>
      <c r="AF43" s="13">
        <v>430325</v>
      </c>
      <c r="AG43" s="19">
        <f t="shared" si="5"/>
        <v>7.8024748736420152E-2</v>
      </c>
      <c r="AH43" s="13">
        <v>42941</v>
      </c>
      <c r="AI43" s="13">
        <v>124333</v>
      </c>
      <c r="AJ43" s="13">
        <v>0</v>
      </c>
      <c r="AK43" s="13">
        <v>67340</v>
      </c>
      <c r="AL43" s="13">
        <v>0</v>
      </c>
      <c r="AM43" s="13">
        <v>0</v>
      </c>
      <c r="AN43" s="13">
        <v>0</v>
      </c>
      <c r="AO43" s="13">
        <v>2880</v>
      </c>
      <c r="AP43" s="13">
        <f>1447+52</f>
        <v>1499</v>
      </c>
      <c r="AQ43" s="13">
        <v>-64</v>
      </c>
      <c r="AR43" s="13">
        <v>-668</v>
      </c>
      <c r="AS43" s="13">
        <v>-600</v>
      </c>
      <c r="AT43" s="13">
        <v>-2</v>
      </c>
      <c r="AU43" s="13">
        <f t="shared" si="6"/>
        <v>3045</v>
      </c>
      <c r="AV43" s="13">
        <v>2830</v>
      </c>
      <c r="AW43" s="13">
        <f>1194+20</f>
        <v>1214</v>
      </c>
      <c r="AX43" s="13">
        <v>-55</v>
      </c>
      <c r="AY43" s="13">
        <v>-558</v>
      </c>
      <c r="AZ43" s="13">
        <v>-551</v>
      </c>
      <c r="BA43" s="13"/>
      <c r="BB43" s="13">
        <f t="shared" si="7"/>
        <v>2880</v>
      </c>
      <c r="BC43" s="13">
        <v>4</v>
      </c>
    </row>
    <row r="44" spans="1:55" x14ac:dyDescent="0.25">
      <c r="A44" s="7">
        <v>4</v>
      </c>
      <c r="B44" s="7" t="s">
        <v>302</v>
      </c>
      <c r="C44" s="7" t="s">
        <v>265</v>
      </c>
      <c r="D44" s="7" t="s">
        <v>497</v>
      </c>
      <c r="E44" s="17" t="s">
        <v>512</v>
      </c>
      <c r="F44" s="17" t="s">
        <v>499</v>
      </c>
      <c r="G44" s="13">
        <v>3675963</v>
      </c>
      <c r="H44" s="13">
        <v>4284</v>
      </c>
      <c r="I44" s="13">
        <v>55509</v>
      </c>
      <c r="J44" s="13">
        <v>1254893</v>
      </c>
      <c r="K44" s="13">
        <v>204459</v>
      </c>
      <c r="L44" s="13">
        <v>1136096</v>
      </c>
      <c r="M44" s="13">
        <v>494212</v>
      </c>
      <c r="N44" s="13">
        <v>3368658</v>
      </c>
      <c r="O44" s="19">
        <v>0.14899999999999999</v>
      </c>
      <c r="P44" s="13">
        <v>0</v>
      </c>
      <c r="Q44" s="21">
        <f>279599/3368658</f>
        <v>8.3000114585689608E-2</v>
      </c>
      <c r="R44" s="13">
        <v>278998</v>
      </c>
      <c r="S44" s="13">
        <v>0</v>
      </c>
      <c r="T44" s="13">
        <v>42999</v>
      </c>
      <c r="U44" s="13">
        <v>3392</v>
      </c>
      <c r="V44" s="13">
        <v>8596</v>
      </c>
      <c r="W44" s="13">
        <v>12240</v>
      </c>
      <c r="X44" s="13">
        <v>7410</v>
      </c>
      <c r="Y44" s="13">
        <v>16560</v>
      </c>
      <c r="Z44" s="13">
        <v>0</v>
      </c>
      <c r="AA44" s="13">
        <f>9192+5036+7494</f>
        <v>21722</v>
      </c>
      <c r="AB44" s="13">
        <v>3319</v>
      </c>
      <c r="AC44" s="13">
        <v>5215</v>
      </c>
      <c r="AD44" s="13">
        <v>9869</v>
      </c>
      <c r="AE44" s="13">
        <v>64091</v>
      </c>
      <c r="AF44" s="13">
        <v>145593</v>
      </c>
      <c r="AG44" s="19">
        <f t="shared" ref="AG44:AG75" si="8">AE44/AF44</f>
        <v>0.44020660333944628</v>
      </c>
      <c r="AH44" s="13">
        <v>9568</v>
      </c>
      <c r="AI44" s="13">
        <v>124333</v>
      </c>
      <c r="AJ44" s="13">
        <v>0</v>
      </c>
      <c r="AK44" s="13">
        <v>23048</v>
      </c>
      <c r="AL44" s="13">
        <v>0</v>
      </c>
      <c r="AM44" s="13">
        <v>0</v>
      </c>
      <c r="AN44" s="13">
        <v>0</v>
      </c>
      <c r="AO44" s="13">
        <v>982</v>
      </c>
      <c r="AP44" s="13">
        <v>704</v>
      </c>
      <c r="AQ44" s="13">
        <v>-62</v>
      </c>
      <c r="AR44" s="13">
        <v>-133</v>
      </c>
      <c r="AS44" s="13">
        <v>-219</v>
      </c>
      <c r="AT44" s="13">
        <v>0</v>
      </c>
      <c r="AU44" s="13">
        <f t="shared" ref="AU44:AU75" si="9">SUM(AO44:AT44)</f>
        <v>1272</v>
      </c>
      <c r="AV44" s="13">
        <v>1014</v>
      </c>
      <c r="AW44" s="13">
        <v>420</v>
      </c>
      <c r="AX44" s="13">
        <v>-78</v>
      </c>
      <c r="AY44" s="13">
        <v>-119</v>
      </c>
      <c r="AZ44" s="13">
        <v>-255</v>
      </c>
      <c r="BA44" s="13">
        <v>0</v>
      </c>
      <c r="BB44" s="13">
        <f t="shared" si="7"/>
        <v>982</v>
      </c>
      <c r="BC44" s="13">
        <v>1</v>
      </c>
    </row>
    <row r="45" spans="1:55" x14ac:dyDescent="0.25">
      <c r="A45" s="7">
        <v>4</v>
      </c>
      <c r="B45" s="7" t="s">
        <v>325</v>
      </c>
      <c r="C45" s="7" t="s">
        <v>504</v>
      </c>
      <c r="D45" s="7" t="s">
        <v>119</v>
      </c>
      <c r="E45" s="17"/>
      <c r="F45" s="17" t="s">
        <v>137</v>
      </c>
      <c r="G45" s="13">
        <v>3038481</v>
      </c>
      <c r="H45" s="13">
        <v>10927</v>
      </c>
      <c r="I45" s="13">
        <v>108180</v>
      </c>
      <c r="J45" s="13">
        <v>1313284</v>
      </c>
      <c r="K45" s="13">
        <v>479550</v>
      </c>
      <c r="L45" s="13">
        <v>664479</v>
      </c>
      <c r="M45" s="13">
        <v>86503</v>
      </c>
      <c r="N45" s="13">
        <v>2826189</v>
      </c>
      <c r="O45" s="19">
        <v>0.1258</v>
      </c>
      <c r="P45" s="13">
        <v>0</v>
      </c>
      <c r="Q45" s="21">
        <f>282619/2826189</f>
        <v>0.10000003538333778</v>
      </c>
      <c r="R45" s="13">
        <v>282373</v>
      </c>
      <c r="S45" s="13">
        <v>0</v>
      </c>
      <c r="T45" s="13">
        <v>37950</v>
      </c>
      <c r="U45" s="13">
        <v>6009</v>
      </c>
      <c r="V45" s="13">
        <v>2475</v>
      </c>
      <c r="W45" s="13">
        <f>35180+1779</f>
        <v>36959</v>
      </c>
      <c r="X45" s="13">
        <v>10288</v>
      </c>
      <c r="Y45" s="13">
        <v>37971</v>
      </c>
      <c r="Z45" s="13">
        <v>0</v>
      </c>
      <c r="AA45" s="13">
        <f>3304+6196+5976</f>
        <v>15476</v>
      </c>
      <c r="AB45" s="13">
        <v>2480</v>
      </c>
      <c r="AC45" s="13">
        <v>0</v>
      </c>
      <c r="AD45" s="13">
        <v>528</v>
      </c>
      <c r="AE45" s="13">
        <v>0</v>
      </c>
      <c r="AF45" s="13">
        <v>171518</v>
      </c>
      <c r="AG45" s="19">
        <f t="shared" si="8"/>
        <v>0</v>
      </c>
      <c r="AH45" s="13">
        <v>20916</v>
      </c>
      <c r="AI45" s="13">
        <v>124333</v>
      </c>
      <c r="AJ45" s="13">
        <v>0</v>
      </c>
      <c r="AK45" s="13">
        <v>20392</v>
      </c>
      <c r="AL45" s="13">
        <v>0</v>
      </c>
      <c r="AM45" s="13">
        <v>0</v>
      </c>
      <c r="AN45" s="13">
        <v>0</v>
      </c>
      <c r="AO45" s="13">
        <v>824</v>
      </c>
      <c r="AP45" s="13">
        <v>652</v>
      </c>
      <c r="AQ45" s="13">
        <v>-71</v>
      </c>
      <c r="AR45" s="13">
        <v>-348</v>
      </c>
      <c r="AS45" s="13">
        <v>-101</v>
      </c>
      <c r="AT45" s="13">
        <f>11-7</f>
        <v>4</v>
      </c>
      <c r="AU45" s="13">
        <f t="shared" si="9"/>
        <v>960</v>
      </c>
      <c r="AV45" s="13">
        <v>805</v>
      </c>
      <c r="AW45" s="13">
        <v>472</v>
      </c>
      <c r="AX45" s="13">
        <v>-50</v>
      </c>
      <c r="AY45" s="13">
        <v>-300</v>
      </c>
      <c r="AZ45" s="13">
        <v>-102</v>
      </c>
      <c r="BA45" s="13">
        <f>3-4</f>
        <v>-1</v>
      </c>
      <c r="BB45" s="13">
        <f t="shared" si="7"/>
        <v>824</v>
      </c>
      <c r="BC45" s="13">
        <v>0</v>
      </c>
    </row>
    <row r="46" spans="1:55" x14ac:dyDescent="0.25">
      <c r="A46" s="7">
        <v>4</v>
      </c>
      <c r="B46" s="7" t="s">
        <v>342</v>
      </c>
      <c r="C46" s="7" t="s">
        <v>19</v>
      </c>
      <c r="D46" s="7" t="s">
        <v>497</v>
      </c>
      <c r="E46" s="17" t="s">
        <v>143</v>
      </c>
      <c r="F46" s="17" t="s">
        <v>499</v>
      </c>
      <c r="G46" s="13">
        <v>5593536</v>
      </c>
      <c r="H46" s="13">
        <v>22418</v>
      </c>
      <c r="I46" s="13">
        <v>358500</v>
      </c>
      <c r="J46" s="13">
        <v>2195351</v>
      </c>
      <c r="K46" s="13">
        <v>976845</v>
      </c>
      <c r="L46" s="13">
        <v>1551918</v>
      </c>
      <c r="M46" s="13">
        <v>164037</v>
      </c>
      <c r="N46" s="13">
        <v>5236896</v>
      </c>
      <c r="O46" s="19">
        <v>0.14000000000000001</v>
      </c>
      <c r="P46" s="13">
        <v>0</v>
      </c>
      <c r="Q46" s="21">
        <f>348745/5236896</f>
        <v>6.6593837265433567E-2</v>
      </c>
      <c r="R46" s="13">
        <v>348745</v>
      </c>
      <c r="S46" s="13">
        <v>0</v>
      </c>
      <c r="T46" s="13">
        <v>94988</v>
      </c>
      <c r="U46" s="13">
        <v>7266</v>
      </c>
      <c r="V46" s="13">
        <v>22422</v>
      </c>
      <c r="W46" s="13">
        <v>32808</v>
      </c>
      <c r="X46" s="13">
        <v>5368</v>
      </c>
      <c r="Y46" s="13">
        <v>13500</v>
      </c>
      <c r="Z46" s="13">
        <v>0</v>
      </c>
      <c r="AA46" s="13">
        <f>5836+10677+10146</f>
        <v>26659</v>
      </c>
      <c r="AB46" s="13">
        <v>5631</v>
      </c>
      <c r="AC46" s="13">
        <v>0</v>
      </c>
      <c r="AD46" s="13">
        <v>7639</v>
      </c>
      <c r="AE46" s="13">
        <v>82284</v>
      </c>
      <c r="AF46" s="13">
        <v>240890</v>
      </c>
      <c r="AG46" s="19">
        <f t="shared" si="8"/>
        <v>0.34158329528000331</v>
      </c>
      <c r="AH46" s="13">
        <v>17670</v>
      </c>
      <c r="AI46" s="13">
        <v>124333</v>
      </c>
      <c r="AJ46" s="13">
        <v>0</v>
      </c>
      <c r="AK46" s="13">
        <v>25672</v>
      </c>
      <c r="AL46" s="13">
        <v>0</v>
      </c>
      <c r="AM46" s="13">
        <v>0</v>
      </c>
      <c r="AN46" s="13">
        <v>0</v>
      </c>
      <c r="AO46" s="13">
        <v>1019</v>
      </c>
      <c r="AP46" s="13">
        <v>873</v>
      </c>
      <c r="AQ46" s="13">
        <v>-148</v>
      </c>
      <c r="AR46" s="13">
        <v>-411</v>
      </c>
      <c r="AS46" s="13">
        <v>-144</v>
      </c>
      <c r="AT46" s="13">
        <v>3</v>
      </c>
      <c r="AU46" s="13">
        <f t="shared" si="9"/>
        <v>1192</v>
      </c>
      <c r="AV46" s="13">
        <v>904</v>
      </c>
      <c r="AW46" s="13">
        <v>701</v>
      </c>
      <c r="AX46" s="13">
        <v>-62</v>
      </c>
      <c r="AY46" s="13">
        <v>-226</v>
      </c>
      <c r="AZ46" s="13">
        <v>-304</v>
      </c>
      <c r="BA46" s="13">
        <f>1+5</f>
        <v>6</v>
      </c>
      <c r="BB46" s="13">
        <f t="shared" si="7"/>
        <v>1019</v>
      </c>
      <c r="BC46" s="13">
        <v>9</v>
      </c>
    </row>
    <row r="47" spans="1:55" x14ac:dyDescent="0.25">
      <c r="A47" s="7">
        <v>4</v>
      </c>
      <c r="B47" s="7" t="s">
        <v>362</v>
      </c>
      <c r="C47" s="7" t="s">
        <v>83</v>
      </c>
      <c r="D47" s="7" t="s">
        <v>497</v>
      </c>
      <c r="E47" s="17" t="s">
        <v>512</v>
      </c>
      <c r="F47" s="17" t="s">
        <v>499</v>
      </c>
      <c r="G47" s="13">
        <v>1773401</v>
      </c>
      <c r="H47" s="13">
        <v>5551</v>
      </c>
      <c r="I47" s="13">
        <v>75503</v>
      </c>
      <c r="J47" s="13">
        <v>547221</v>
      </c>
      <c r="K47" s="13">
        <v>235045</v>
      </c>
      <c r="L47" s="13">
        <v>535952</v>
      </c>
      <c r="M47" s="13">
        <v>122414</v>
      </c>
      <c r="N47" s="13">
        <v>1597201</v>
      </c>
      <c r="O47" s="19">
        <v>0.16</v>
      </c>
      <c r="P47" s="13">
        <v>2682</v>
      </c>
      <c r="Q47" s="21">
        <f>148555/1597363</f>
        <v>9.3000150873658649E-2</v>
      </c>
      <c r="R47" s="13">
        <v>148550</v>
      </c>
      <c r="S47" s="13">
        <v>0</v>
      </c>
      <c r="T47" s="13">
        <v>31348</v>
      </c>
      <c r="U47" s="13">
        <v>2512</v>
      </c>
      <c r="V47" s="13">
        <v>6583</v>
      </c>
      <c r="W47" s="13">
        <f>6060+784</f>
        <v>6844</v>
      </c>
      <c r="X47" s="13">
        <v>0</v>
      </c>
      <c r="Y47" s="13">
        <v>2000</v>
      </c>
      <c r="Z47" s="13">
        <v>0</v>
      </c>
      <c r="AA47" s="13">
        <f>1188+4996+1750</f>
        <v>7934</v>
      </c>
      <c r="AB47" s="13">
        <v>3424</v>
      </c>
      <c r="AC47" s="13">
        <v>0</v>
      </c>
      <c r="AD47" s="13">
        <v>397</v>
      </c>
      <c r="AE47" s="13">
        <v>4166</v>
      </c>
      <c r="AF47" s="13">
        <v>71035</v>
      </c>
      <c r="AG47" s="19">
        <f t="shared" si="8"/>
        <v>5.8647145773210389E-2</v>
      </c>
      <c r="AH47" s="13">
        <v>8922</v>
      </c>
      <c r="AI47" s="13">
        <v>82600</v>
      </c>
      <c r="AJ47" s="13">
        <v>0</v>
      </c>
      <c r="AK47" s="13">
        <v>9549</v>
      </c>
      <c r="AL47" s="13">
        <v>0</v>
      </c>
      <c r="AM47" s="13">
        <v>0</v>
      </c>
      <c r="AN47" s="13">
        <v>0</v>
      </c>
      <c r="AO47" s="13">
        <v>397</v>
      </c>
      <c r="AP47" s="13">
        <v>211</v>
      </c>
      <c r="AQ47" s="13">
        <v>-44</v>
      </c>
      <c r="AR47" s="13">
        <v>-44</v>
      </c>
      <c r="AS47" s="13">
        <v>-84</v>
      </c>
      <c r="AT47" s="13">
        <v>6</v>
      </c>
      <c r="AU47" s="13">
        <f t="shared" si="9"/>
        <v>442</v>
      </c>
      <c r="AV47" s="13">
        <v>364</v>
      </c>
      <c r="AW47" s="13">
        <v>138</v>
      </c>
      <c r="AX47" s="13">
        <v>-34</v>
      </c>
      <c r="AY47" s="13">
        <v>-26</v>
      </c>
      <c r="AZ47" s="13">
        <v>-52</v>
      </c>
      <c r="BA47" s="13">
        <v>7</v>
      </c>
      <c r="BB47" s="13">
        <f t="shared" si="7"/>
        <v>397</v>
      </c>
      <c r="BC47" s="13">
        <v>6</v>
      </c>
    </row>
    <row r="48" spans="1:55" x14ac:dyDescent="0.25">
      <c r="A48" s="7">
        <v>4</v>
      </c>
      <c r="B48" s="7" t="s">
        <v>426</v>
      </c>
      <c r="C48" s="7" t="s">
        <v>378</v>
      </c>
      <c r="D48" s="7" t="s">
        <v>497</v>
      </c>
      <c r="E48" s="17" t="s">
        <v>143</v>
      </c>
      <c r="F48" s="17" t="s">
        <v>499</v>
      </c>
      <c r="G48" s="13">
        <v>16316373</v>
      </c>
      <c r="H48" s="13">
        <v>22228</v>
      </c>
      <c r="I48" s="13">
        <v>576345</v>
      </c>
      <c r="J48" s="13">
        <v>8293693</v>
      </c>
      <c r="K48" s="13">
        <v>1806934</v>
      </c>
      <c r="L48" s="13">
        <v>2938118</v>
      </c>
      <c r="M48" s="13">
        <v>1697767</v>
      </c>
      <c r="N48" s="13">
        <v>15401106</v>
      </c>
      <c r="O48" s="19">
        <v>0.03</v>
      </c>
      <c r="P48" s="13">
        <f>812756/15401106</f>
        <v>5.2772573606077379E-2</v>
      </c>
      <c r="Q48" s="21">
        <f>812756/15401106</f>
        <v>5.2772573606077379E-2</v>
      </c>
      <c r="R48" s="13">
        <v>811143</v>
      </c>
      <c r="S48" s="13">
        <v>0</v>
      </c>
      <c r="T48" s="13">
        <v>381476</v>
      </c>
      <c r="U48" s="13">
        <v>30518</v>
      </c>
      <c r="V48" s="13">
        <v>58879</v>
      </c>
      <c r="W48" s="13">
        <v>54729</v>
      </c>
      <c r="X48" s="13">
        <f>1393+700</f>
        <v>2093</v>
      </c>
      <c r="Y48" s="13">
        <v>16076</v>
      </c>
      <c r="Z48" s="13">
        <v>7261</v>
      </c>
      <c r="AA48" s="13">
        <f>14244+33006+38961</f>
        <v>86211</v>
      </c>
      <c r="AB48" s="13">
        <v>6956</v>
      </c>
      <c r="AC48" s="13">
        <v>13545</v>
      </c>
      <c r="AD48" s="13">
        <v>24070</v>
      </c>
      <c r="AE48" s="13">
        <v>0</v>
      </c>
      <c r="AF48" s="13">
        <v>723277</v>
      </c>
      <c r="AG48" s="19">
        <f t="shared" si="8"/>
        <v>0</v>
      </c>
      <c r="AH48" s="13">
        <v>101377</v>
      </c>
      <c r="AI48" s="13">
        <v>124333</v>
      </c>
      <c r="AJ48" s="13">
        <v>0</v>
      </c>
      <c r="AK48" s="13">
        <v>101027</v>
      </c>
      <c r="AL48" s="13">
        <v>0</v>
      </c>
      <c r="AM48" s="13">
        <v>0</v>
      </c>
      <c r="AN48" s="13">
        <v>0</v>
      </c>
      <c r="AO48" s="13">
        <v>4225</v>
      </c>
      <c r="AP48" s="13">
        <v>2908</v>
      </c>
      <c r="AQ48" s="13">
        <v>-325</v>
      </c>
      <c r="AR48" s="13">
        <v>-1015</v>
      </c>
      <c r="AS48" s="13">
        <v>-894</v>
      </c>
      <c r="AT48" s="13">
        <f>228-6</f>
        <v>222</v>
      </c>
      <c r="AU48" s="13">
        <f t="shared" si="9"/>
        <v>5121</v>
      </c>
      <c r="AV48" s="13">
        <v>4196</v>
      </c>
      <c r="AW48" s="13">
        <v>2055</v>
      </c>
      <c r="AX48" s="13">
        <v>-335</v>
      </c>
      <c r="AY48" s="13">
        <v>-815</v>
      </c>
      <c r="AZ48" s="13">
        <v>-870</v>
      </c>
      <c r="BA48" s="13">
        <f>1-7</f>
        <v>-6</v>
      </c>
      <c r="BB48" s="13">
        <f t="shared" si="7"/>
        <v>4225</v>
      </c>
      <c r="BC48" s="13">
        <v>4</v>
      </c>
    </row>
    <row r="49" spans="1:55" x14ac:dyDescent="0.25">
      <c r="A49" s="7">
        <v>4</v>
      </c>
      <c r="B49" s="7" t="s">
        <v>460</v>
      </c>
      <c r="C49" s="7" t="s">
        <v>100</v>
      </c>
      <c r="D49" s="7" t="s">
        <v>431</v>
      </c>
      <c r="E49" s="17"/>
      <c r="F49" s="17" t="s">
        <v>447</v>
      </c>
      <c r="G49" s="13">
        <v>18667189</v>
      </c>
      <c r="H49" s="13">
        <v>103632</v>
      </c>
      <c r="I49" s="13">
        <v>386604</v>
      </c>
      <c r="J49" s="13">
        <v>11552048</v>
      </c>
      <c r="K49" s="13">
        <v>605103</v>
      </c>
      <c r="L49" s="13">
        <v>4212091</v>
      </c>
      <c r="M49" s="13">
        <v>542973</v>
      </c>
      <c r="N49" s="13">
        <v>17638575</v>
      </c>
      <c r="O49" s="19">
        <v>0.12</v>
      </c>
      <c r="P49" s="13">
        <v>3658</v>
      </c>
      <c r="Q49" s="21">
        <f>717004/17629177</f>
        <v>4.0671439171550666E-2</v>
      </c>
      <c r="R49" s="13">
        <v>716963</v>
      </c>
      <c r="S49" s="13">
        <v>0</v>
      </c>
      <c r="T49" s="13">
        <f>360037+10385</f>
        <v>370422</v>
      </c>
      <c r="U49" s="13">
        <f>29851+831</f>
        <v>30682</v>
      </c>
      <c r="V49" s="13">
        <f>51698+1295</f>
        <v>52993</v>
      </c>
      <c r="W49" s="13">
        <f>40519+6413</f>
        <v>46932</v>
      </c>
      <c r="X49" s="13">
        <v>0</v>
      </c>
      <c r="Y49" s="13">
        <v>16716</v>
      </c>
      <c r="Z49" s="13">
        <v>3634</v>
      </c>
      <c r="AA49" s="13">
        <f>10804+55494+43500</f>
        <v>109798</v>
      </c>
      <c r="AB49" s="13">
        <v>6745</v>
      </c>
      <c r="AC49" s="13">
        <v>0</v>
      </c>
      <c r="AD49" s="13">
        <v>11973</v>
      </c>
      <c r="AE49" s="13">
        <v>0</v>
      </c>
      <c r="AF49" s="13">
        <v>683959</v>
      </c>
      <c r="AG49" s="19">
        <f t="shared" si="8"/>
        <v>0</v>
      </c>
      <c r="AH49" s="13">
        <v>85072</v>
      </c>
      <c r="AI49" s="13">
        <v>124333</v>
      </c>
      <c r="AJ49" s="13">
        <v>0</v>
      </c>
      <c r="AK49" s="13">
        <v>104157</v>
      </c>
      <c r="AL49" s="13">
        <v>0</v>
      </c>
      <c r="AM49" s="13">
        <v>0</v>
      </c>
      <c r="AN49" s="13">
        <v>0</v>
      </c>
      <c r="AO49" s="13">
        <v>4386</v>
      </c>
      <c r="AP49" s="13">
        <v>2464</v>
      </c>
      <c r="AQ49" s="13">
        <v>-126</v>
      </c>
      <c r="AR49" s="13">
        <v>-1057</v>
      </c>
      <c r="AS49" s="13">
        <v>-733</v>
      </c>
      <c r="AT49" s="13">
        <f>19-1</f>
        <v>18</v>
      </c>
      <c r="AU49" s="13">
        <f t="shared" si="9"/>
        <v>4952</v>
      </c>
      <c r="AV49" s="13">
        <v>3952</v>
      </c>
      <c r="AW49" s="13">
        <v>1928</v>
      </c>
      <c r="AX49" s="13">
        <v>-102</v>
      </c>
      <c r="AY49" s="13">
        <v>-823</v>
      </c>
      <c r="AZ49" s="13">
        <v>-584</v>
      </c>
      <c r="BA49" s="13">
        <f>16-1</f>
        <v>15</v>
      </c>
      <c r="BB49" s="13">
        <f t="shared" si="7"/>
        <v>4386</v>
      </c>
      <c r="BC49" s="13">
        <v>2</v>
      </c>
    </row>
    <row r="50" spans="1:55" x14ac:dyDescent="0.25">
      <c r="A50" s="7">
        <v>4</v>
      </c>
      <c r="B50" s="7" t="s">
        <v>463</v>
      </c>
      <c r="C50" s="7" t="s">
        <v>404</v>
      </c>
      <c r="D50" s="7" t="s">
        <v>497</v>
      </c>
      <c r="E50" s="17" t="s">
        <v>512</v>
      </c>
      <c r="F50" s="17" t="s">
        <v>499</v>
      </c>
      <c r="G50" s="13">
        <v>2305538</v>
      </c>
      <c r="H50" s="13">
        <v>5715</v>
      </c>
      <c r="I50" s="13">
        <v>44757</v>
      </c>
      <c r="J50" s="13">
        <v>932932</v>
      </c>
      <c r="K50" s="13">
        <v>212770</v>
      </c>
      <c r="L50" s="13">
        <v>725009</v>
      </c>
      <c r="M50" s="13">
        <v>180931</v>
      </c>
      <c r="N50" s="13">
        <v>2252306</v>
      </c>
      <c r="O50" s="19">
        <v>0.14000000000000001</v>
      </c>
      <c r="P50" s="13">
        <v>0</v>
      </c>
      <c r="Q50" s="21">
        <f>199241/2252306</f>
        <v>8.8460892969250179E-2</v>
      </c>
      <c r="R50" s="13">
        <v>199182</v>
      </c>
      <c r="S50" s="13">
        <v>0</v>
      </c>
      <c r="T50" s="13">
        <v>49271</v>
      </c>
      <c r="U50" s="13">
        <v>3902</v>
      </c>
      <c r="V50" s="13">
        <v>7137</v>
      </c>
      <c r="W50" s="13">
        <v>8656</v>
      </c>
      <c r="X50" s="13">
        <v>0</v>
      </c>
      <c r="Y50" s="13">
        <v>5428</v>
      </c>
      <c r="Z50" s="13">
        <v>0</v>
      </c>
      <c r="AA50" s="13">
        <f>2640+3048+3583</f>
        <v>9271</v>
      </c>
      <c r="AB50" s="13">
        <v>600</v>
      </c>
      <c r="AC50" s="13">
        <v>0</v>
      </c>
      <c r="AD50" s="13">
        <v>523</v>
      </c>
      <c r="AE50" s="13">
        <v>0</v>
      </c>
      <c r="AF50" s="13">
        <v>94999</v>
      </c>
      <c r="AG50" s="19">
        <f t="shared" si="8"/>
        <v>0</v>
      </c>
      <c r="AH50" s="13">
        <v>7640</v>
      </c>
      <c r="AI50" s="13">
        <v>105302</v>
      </c>
      <c r="AJ50" s="13">
        <v>0</v>
      </c>
      <c r="AK50" s="13">
        <v>15143</v>
      </c>
      <c r="AL50" s="13">
        <v>0</v>
      </c>
      <c r="AM50" s="13">
        <v>0</v>
      </c>
      <c r="AN50" s="13">
        <v>0</v>
      </c>
      <c r="AO50" s="13">
        <v>684</v>
      </c>
      <c r="AP50" s="13">
        <v>436</v>
      </c>
      <c r="AQ50" s="13">
        <v>-79</v>
      </c>
      <c r="AR50" s="13">
        <v>-91</v>
      </c>
      <c r="AS50" s="13">
        <v>-100</v>
      </c>
      <c r="AT50" s="13">
        <v>0</v>
      </c>
      <c r="AU50" s="13">
        <f t="shared" si="9"/>
        <v>850</v>
      </c>
      <c r="AV50" s="13">
        <v>555</v>
      </c>
      <c r="AW50" s="13">
        <v>336</v>
      </c>
      <c r="AX50" s="13">
        <v>-48</v>
      </c>
      <c r="AY50" s="13">
        <v>-72</v>
      </c>
      <c r="AZ50" s="13">
        <v>-87</v>
      </c>
      <c r="BA50" s="13">
        <v>0</v>
      </c>
      <c r="BB50" s="13">
        <f t="shared" si="7"/>
        <v>684</v>
      </c>
      <c r="BC50" s="13">
        <v>0</v>
      </c>
    </row>
    <row r="51" spans="1:55" x14ac:dyDescent="0.25">
      <c r="A51" s="7">
        <v>4</v>
      </c>
      <c r="B51" s="7" t="s">
        <v>518</v>
      </c>
      <c r="C51" s="7" t="s">
        <v>63</v>
      </c>
      <c r="D51" s="7" t="s">
        <v>497</v>
      </c>
      <c r="E51" s="17" t="s">
        <v>512</v>
      </c>
      <c r="F51" s="17" t="s">
        <v>499</v>
      </c>
      <c r="G51" s="13">
        <v>2172681</v>
      </c>
      <c r="H51" s="13">
        <v>14938</v>
      </c>
      <c r="I51" s="13">
        <v>41067</v>
      </c>
      <c r="J51" s="13">
        <v>1489703</v>
      </c>
      <c r="K51" s="13">
        <v>227711</v>
      </c>
      <c r="L51" s="13">
        <v>198416</v>
      </c>
      <c r="M51" s="13">
        <v>23892</v>
      </c>
      <c r="N51" s="13">
        <v>2120216</v>
      </c>
      <c r="O51" s="19">
        <v>0.26</v>
      </c>
      <c r="P51" s="13">
        <v>0</v>
      </c>
      <c r="Q51" s="21">
        <f>179744/2120216</f>
        <v>8.4776268078346734E-2</v>
      </c>
      <c r="R51" s="13">
        <v>179744</v>
      </c>
      <c r="S51" s="13">
        <v>0</v>
      </c>
      <c r="T51" s="13">
        <v>44589</v>
      </c>
      <c r="U51" s="13">
        <v>3165</v>
      </c>
      <c r="V51" s="13">
        <v>4546</v>
      </c>
      <c r="W51" s="13">
        <f>7680+2968</f>
        <v>10648</v>
      </c>
      <c r="X51" s="13">
        <v>0</v>
      </c>
      <c r="Y51" s="13">
        <v>0</v>
      </c>
      <c r="Z51" s="13">
        <v>0</v>
      </c>
      <c r="AA51" s="13">
        <f>3205+3197+4808</f>
        <v>11210</v>
      </c>
      <c r="AB51" s="13">
        <v>3379</v>
      </c>
      <c r="AC51" s="13">
        <v>0</v>
      </c>
      <c r="AD51" s="13">
        <v>0</v>
      </c>
      <c r="AE51" s="13">
        <v>11890</v>
      </c>
      <c r="AF51" s="13">
        <v>90714</v>
      </c>
      <c r="AG51" s="19">
        <f t="shared" si="8"/>
        <v>0.13107127896465814</v>
      </c>
      <c r="AH51" s="13">
        <v>13386</v>
      </c>
      <c r="AI51" s="13">
        <v>106581</v>
      </c>
      <c r="AJ51" s="13">
        <v>0</v>
      </c>
      <c r="AK51" s="13">
        <v>11121</v>
      </c>
      <c r="AL51" s="13">
        <v>0</v>
      </c>
      <c r="AM51" s="13">
        <v>0</v>
      </c>
      <c r="AN51" s="13">
        <v>0</v>
      </c>
      <c r="AO51" s="13">
        <v>435</v>
      </c>
      <c r="AP51" s="13">
        <v>204</v>
      </c>
      <c r="AQ51" s="13">
        <v>-61</v>
      </c>
      <c r="AR51" s="13">
        <v>-41</v>
      </c>
      <c r="AS51" s="13">
        <v>-50</v>
      </c>
      <c r="AT51" s="13">
        <v>-2</v>
      </c>
      <c r="AU51" s="13">
        <f t="shared" si="9"/>
        <v>485</v>
      </c>
      <c r="AV51" s="13">
        <v>424</v>
      </c>
      <c r="AW51" s="13">
        <v>159</v>
      </c>
      <c r="AX51" s="13">
        <v>-33</v>
      </c>
      <c r="AY51" s="13">
        <v>-32</v>
      </c>
      <c r="AZ51" s="13">
        <v>-83</v>
      </c>
      <c r="BA51" s="13">
        <v>0</v>
      </c>
      <c r="BB51" s="13">
        <f t="shared" ref="BB51:BB82" si="10">SUM(AV51:BA51)</f>
        <v>435</v>
      </c>
      <c r="BC51" s="13">
        <v>8</v>
      </c>
    </row>
    <row r="52" spans="1:55" x14ac:dyDescent="0.25">
      <c r="A52" s="7">
        <v>5</v>
      </c>
      <c r="B52" s="7" t="s">
        <v>38</v>
      </c>
      <c r="C52" s="7" t="s">
        <v>224</v>
      </c>
      <c r="D52" s="7" t="s">
        <v>304</v>
      </c>
      <c r="E52" s="17" t="s">
        <v>331</v>
      </c>
      <c r="F52" s="17" t="s">
        <v>296</v>
      </c>
      <c r="G52" s="13">
        <v>16303964</v>
      </c>
      <c r="H52" s="13">
        <v>88232</v>
      </c>
      <c r="I52" s="13">
        <v>538581</v>
      </c>
      <c r="J52" s="13">
        <v>6741634</v>
      </c>
      <c r="K52" s="13">
        <v>690261</v>
      </c>
      <c r="L52" s="13">
        <v>6872851</v>
      </c>
      <c r="M52" s="13">
        <v>730624</v>
      </c>
      <c r="N52" s="13">
        <v>15755134</v>
      </c>
      <c r="O52" s="19">
        <v>0.10340000000000001</v>
      </c>
      <c r="P52" s="13">
        <v>5583050</v>
      </c>
      <c r="Q52" s="21">
        <f>720278/10172084</f>
        <v>7.0809285491547261E-2</v>
      </c>
      <c r="R52" s="13">
        <v>719614</v>
      </c>
      <c r="S52" s="13">
        <v>0</v>
      </c>
      <c r="T52" s="13">
        <v>281129</v>
      </c>
      <c r="U52" s="13">
        <v>24712</v>
      </c>
      <c r="V52" s="13">
        <v>44991</v>
      </c>
      <c r="W52" s="13">
        <v>45714</v>
      </c>
      <c r="X52" s="13">
        <v>17818</v>
      </c>
      <c r="Y52" s="13">
        <v>158136</v>
      </c>
      <c r="Z52" s="13">
        <v>0</v>
      </c>
      <c r="AA52" s="13">
        <f>9519+50003+14267</f>
        <v>73789</v>
      </c>
      <c r="AB52" s="13">
        <v>5058</v>
      </c>
      <c r="AC52" s="13">
        <v>5890</v>
      </c>
      <c r="AD52" s="13">
        <v>1829</v>
      </c>
      <c r="AE52" s="13">
        <v>45714</v>
      </c>
      <c r="AF52" s="13">
        <v>697393</v>
      </c>
      <c r="AG52" s="19">
        <f t="shared" si="8"/>
        <v>6.5549840620711702E-2</v>
      </c>
      <c r="AH52" s="13">
        <v>99999</v>
      </c>
      <c r="AI52" s="13">
        <v>124326</v>
      </c>
      <c r="AJ52" s="13">
        <v>0</v>
      </c>
      <c r="AK52" s="13">
        <v>85319</v>
      </c>
      <c r="AL52" s="13">
        <v>0</v>
      </c>
      <c r="AM52" s="13">
        <v>0</v>
      </c>
      <c r="AN52" s="13">
        <v>0</v>
      </c>
      <c r="AO52" s="13">
        <v>3473</v>
      </c>
      <c r="AP52" s="13">
        <v>2124</v>
      </c>
      <c r="AQ52" s="13">
        <v>-230</v>
      </c>
      <c r="AR52" s="13">
        <v>-739</v>
      </c>
      <c r="AS52" s="13">
        <v>-753</v>
      </c>
      <c r="AT52" s="13">
        <v>0</v>
      </c>
      <c r="AU52" s="13">
        <f t="shared" si="9"/>
        <v>3875</v>
      </c>
      <c r="AV52" s="13">
        <v>3468</v>
      </c>
      <c r="AW52" s="13">
        <v>1659</v>
      </c>
      <c r="AX52" s="13">
        <v>-201</v>
      </c>
      <c r="AY52" s="13">
        <v>-649</v>
      </c>
      <c r="AZ52" s="13">
        <v>-802</v>
      </c>
      <c r="BA52" s="13">
        <v>-2</v>
      </c>
      <c r="BB52" s="13">
        <f t="shared" si="10"/>
        <v>3473</v>
      </c>
      <c r="BC52" s="13">
        <v>30</v>
      </c>
    </row>
    <row r="53" spans="1:55" x14ac:dyDescent="0.25">
      <c r="A53" s="7">
        <v>5</v>
      </c>
      <c r="B53" s="7" t="s">
        <v>39</v>
      </c>
      <c r="C53" s="7" t="s">
        <v>224</v>
      </c>
      <c r="D53" s="7" t="s">
        <v>304</v>
      </c>
      <c r="E53" s="17" t="s">
        <v>450</v>
      </c>
      <c r="F53" s="17" t="s">
        <v>296</v>
      </c>
      <c r="G53" s="13">
        <v>20395444</v>
      </c>
      <c r="H53" s="13">
        <v>99563</v>
      </c>
      <c r="I53" s="13">
        <v>796388</v>
      </c>
      <c r="J53" s="13">
        <v>7772343</v>
      </c>
      <c r="K53" s="13">
        <v>864478</v>
      </c>
      <c r="L53" s="13">
        <v>8980732</v>
      </c>
      <c r="M53" s="13">
        <v>1160513</v>
      </c>
      <c r="N53" s="13">
        <v>19539472</v>
      </c>
      <c r="O53" s="19">
        <v>8.9899999999999994E-2</v>
      </c>
      <c r="P53" s="13">
        <v>6798270</v>
      </c>
      <c r="Q53" s="21">
        <f>758375/12741202</f>
        <v>5.9521464301405785E-2</v>
      </c>
      <c r="R53" s="13">
        <v>761086</v>
      </c>
      <c r="S53" s="13">
        <v>0</v>
      </c>
      <c r="T53" s="13">
        <v>303718</v>
      </c>
      <c r="U53" s="13">
        <v>26445</v>
      </c>
      <c r="V53" s="13">
        <v>50302</v>
      </c>
      <c r="W53" s="13">
        <v>50697</v>
      </c>
      <c r="X53" s="13">
        <v>17818</v>
      </c>
      <c r="Y53" s="13">
        <v>179862</v>
      </c>
      <c r="Z53" s="13">
        <v>0</v>
      </c>
      <c r="AA53" s="13">
        <f>7818+53960+14999</f>
        <v>76777</v>
      </c>
      <c r="AB53" s="13">
        <v>6617</v>
      </c>
      <c r="AC53" s="13">
        <v>6528</v>
      </c>
      <c r="AD53" s="13">
        <v>1973</v>
      </c>
      <c r="AE53" s="13">
        <v>50697</v>
      </c>
      <c r="AF53" s="13">
        <v>761512</v>
      </c>
      <c r="AG53" s="19">
        <f t="shared" si="8"/>
        <v>6.6574131464770092E-2</v>
      </c>
      <c r="AH53" s="13">
        <v>102267</v>
      </c>
      <c r="AI53" s="13">
        <v>124326</v>
      </c>
      <c r="AJ53" s="13">
        <v>0</v>
      </c>
      <c r="AK53" s="13">
        <v>75314</v>
      </c>
      <c r="AL53" s="13">
        <v>0</v>
      </c>
      <c r="AM53" s="13">
        <v>0</v>
      </c>
      <c r="AN53" s="13">
        <v>0</v>
      </c>
      <c r="AO53" s="13">
        <v>3856</v>
      </c>
      <c r="AP53" s="13">
        <v>2656</v>
      </c>
      <c r="AQ53" s="13">
        <v>-313</v>
      </c>
      <c r="AR53" s="13">
        <v>-1040</v>
      </c>
      <c r="AS53" s="13">
        <v>-812</v>
      </c>
      <c r="AT53" s="13">
        <v>-3</v>
      </c>
      <c r="AU53" s="13">
        <f t="shared" si="9"/>
        <v>4344</v>
      </c>
      <c r="AV53" s="13">
        <v>3981</v>
      </c>
      <c r="AW53" s="13">
        <v>1871</v>
      </c>
      <c r="AX53" s="13">
        <v>-304</v>
      </c>
      <c r="AY53" s="13">
        <v>-872</v>
      </c>
      <c r="AZ53" s="13">
        <v>-817</v>
      </c>
      <c r="BA53" s="13">
        <v>-3</v>
      </c>
      <c r="BB53" s="13">
        <f t="shared" si="10"/>
        <v>3856</v>
      </c>
      <c r="BC53" s="13">
        <v>30</v>
      </c>
    </row>
    <row r="54" spans="1:55" x14ac:dyDescent="0.25">
      <c r="A54" s="7">
        <v>5</v>
      </c>
      <c r="B54" s="7" t="s">
        <v>44</v>
      </c>
      <c r="C54" s="7" t="s">
        <v>321</v>
      </c>
      <c r="D54" s="7" t="s">
        <v>243</v>
      </c>
      <c r="E54" s="17" t="s">
        <v>143</v>
      </c>
      <c r="F54" s="17" t="s">
        <v>261</v>
      </c>
      <c r="G54" s="13">
        <v>10518103</v>
      </c>
      <c r="H54" s="13">
        <v>30120</v>
      </c>
      <c r="I54" s="13">
        <v>277550</v>
      </c>
      <c r="J54" s="13">
        <v>4115440</v>
      </c>
      <c r="K54" s="13">
        <v>679770</v>
      </c>
      <c r="L54" s="13">
        <v>3581659</v>
      </c>
      <c r="M54" s="13">
        <v>936799</v>
      </c>
      <c r="N54" s="13">
        <v>9977022</v>
      </c>
      <c r="O54" s="19">
        <v>0.1298</v>
      </c>
      <c r="P54" s="13">
        <v>0</v>
      </c>
      <c r="Q54" s="21">
        <f>663322/9977022</f>
        <v>6.6484969162140764E-2</v>
      </c>
      <c r="R54" s="13">
        <v>663354</v>
      </c>
      <c r="S54" s="13">
        <v>0</v>
      </c>
      <c r="T54" s="13">
        <v>287045</v>
      </c>
      <c r="U54" s="13">
        <v>22183</v>
      </c>
      <c r="V54" s="13">
        <v>60111</v>
      </c>
      <c r="W54" s="13">
        <v>34104</v>
      </c>
      <c r="X54" s="13">
        <v>1360</v>
      </c>
      <c r="Y54" s="13">
        <v>15717</v>
      </c>
      <c r="Z54" s="13">
        <v>3500</v>
      </c>
      <c r="AA54" s="13">
        <f>7263+30665+20860</f>
        <v>58788</v>
      </c>
      <c r="AB54" s="13">
        <v>7757</v>
      </c>
      <c r="AC54" s="13">
        <v>0</v>
      </c>
      <c r="AD54" s="13">
        <v>48384</v>
      </c>
      <c r="AE54" s="13">
        <v>27517</v>
      </c>
      <c r="AF54" s="13">
        <v>574226</v>
      </c>
      <c r="AG54" s="19">
        <f t="shared" si="8"/>
        <v>4.7920156872032965E-2</v>
      </c>
      <c r="AH54" s="13">
        <v>97331</v>
      </c>
      <c r="AI54" s="13">
        <v>124333</v>
      </c>
      <c r="AJ54" s="13">
        <v>0</v>
      </c>
      <c r="AK54" s="13">
        <v>80732</v>
      </c>
      <c r="AL54" s="13">
        <v>0</v>
      </c>
      <c r="AM54" s="13">
        <v>0</v>
      </c>
      <c r="AN54" s="13">
        <v>0</v>
      </c>
      <c r="AO54" s="13">
        <v>3080</v>
      </c>
      <c r="AP54" s="13">
        <v>2209</v>
      </c>
      <c r="AQ54" s="13">
        <v>-248</v>
      </c>
      <c r="AR54" s="13">
        <v>-1120</v>
      </c>
      <c r="AS54" s="13">
        <v>-461</v>
      </c>
      <c r="AT54" s="13">
        <v>15</v>
      </c>
      <c r="AU54" s="13">
        <f t="shared" si="9"/>
        <v>3475</v>
      </c>
      <c r="AV54" s="13">
        <v>2966</v>
      </c>
      <c r="AW54" s="13">
        <v>1867</v>
      </c>
      <c r="AX54" s="13">
        <v>-233</v>
      </c>
      <c r="AY54" s="13">
        <v>-1065</v>
      </c>
      <c r="AZ54" s="13">
        <v>-468</v>
      </c>
      <c r="BA54" s="13">
        <v>13</v>
      </c>
      <c r="BB54" s="13">
        <f t="shared" si="10"/>
        <v>3080</v>
      </c>
      <c r="BC54" s="13">
        <v>0</v>
      </c>
    </row>
    <row r="55" spans="1:55" x14ac:dyDescent="0.25">
      <c r="A55" s="7">
        <v>5</v>
      </c>
      <c r="B55" s="7" t="s">
        <v>47</v>
      </c>
      <c r="C55" s="7" t="s">
        <v>196</v>
      </c>
      <c r="D55" s="7" t="s">
        <v>304</v>
      </c>
      <c r="E55" s="17" t="s">
        <v>449</v>
      </c>
      <c r="F55" s="17" t="s">
        <v>296</v>
      </c>
      <c r="G55" s="13">
        <v>6348075</v>
      </c>
      <c r="H55" s="13">
        <v>9834</v>
      </c>
      <c r="I55" s="13">
        <v>89166</v>
      </c>
      <c r="J55" s="13">
        <v>4188330</v>
      </c>
      <c r="K55" s="13">
        <v>193440</v>
      </c>
      <c r="L55" s="13">
        <v>832584</v>
      </c>
      <c r="M55" s="13">
        <v>401577</v>
      </c>
      <c r="N55" s="13">
        <v>6059182</v>
      </c>
      <c r="O55" s="19">
        <v>7.0000000000000007E-2</v>
      </c>
      <c r="P55" s="13">
        <v>46369</v>
      </c>
      <c r="Q55" s="21">
        <f>448127/6059182</f>
        <v>7.3958332989502537E-2</v>
      </c>
      <c r="R55" s="13">
        <v>443251</v>
      </c>
      <c r="S55" s="13">
        <v>0</v>
      </c>
      <c r="T55" s="13">
        <v>139484</v>
      </c>
      <c r="U55" s="13">
        <v>10516</v>
      </c>
      <c r="V55" s="13">
        <v>23980</v>
      </c>
      <c r="W55" s="13">
        <f>31161+3053</f>
        <v>34214</v>
      </c>
      <c r="X55" s="13">
        <v>4255</v>
      </c>
      <c r="Y55" s="13">
        <v>11845</v>
      </c>
      <c r="Z55" s="13">
        <v>1899</v>
      </c>
      <c r="AA55" s="13">
        <f>9461+21145+13585</f>
        <v>44191</v>
      </c>
      <c r="AB55" s="13">
        <v>3593</v>
      </c>
      <c r="AC55" s="13">
        <v>0</v>
      </c>
      <c r="AD55" s="13">
        <v>1916</v>
      </c>
      <c r="AE55" s="13">
        <v>205141</v>
      </c>
      <c r="AF55" s="13">
        <v>323330</v>
      </c>
      <c r="AG55" s="19">
        <f t="shared" si="8"/>
        <v>0.63446324188909164</v>
      </c>
      <c r="AH55" s="13">
        <v>46321</v>
      </c>
      <c r="AI55" s="13">
        <v>124333</v>
      </c>
      <c r="AJ55" s="13">
        <v>0</v>
      </c>
      <c r="AK55" s="13">
        <v>52966</v>
      </c>
      <c r="AL55" s="13">
        <v>0</v>
      </c>
      <c r="AM55" s="13">
        <v>0</v>
      </c>
      <c r="AN55" s="13">
        <v>0</v>
      </c>
      <c r="AO55" s="13">
        <v>1722</v>
      </c>
      <c r="AP55" s="13">
        <v>1048</v>
      </c>
      <c r="AQ55" s="13">
        <v>-78</v>
      </c>
      <c r="AR55" s="13">
        <v>-318</v>
      </c>
      <c r="AS55" s="13">
        <v>-371</v>
      </c>
      <c r="AT55" s="13">
        <v>-1</v>
      </c>
      <c r="AU55" s="13">
        <f t="shared" si="9"/>
        <v>2002</v>
      </c>
      <c r="AV55" s="13">
        <v>1935</v>
      </c>
      <c r="AW55" s="13">
        <v>667</v>
      </c>
      <c r="AX55" s="13">
        <v>-68</v>
      </c>
      <c r="AY55" s="13">
        <v>-394</v>
      </c>
      <c r="AZ55" s="13">
        <v>-420</v>
      </c>
      <c r="BA55" s="13">
        <v>2</v>
      </c>
      <c r="BB55" s="13">
        <f t="shared" si="10"/>
        <v>1722</v>
      </c>
      <c r="BC55" s="13">
        <v>0</v>
      </c>
    </row>
    <row r="56" spans="1:55" x14ac:dyDescent="0.25">
      <c r="A56" s="7">
        <v>5</v>
      </c>
      <c r="B56" s="7" t="s">
        <v>117</v>
      </c>
      <c r="C56" s="7" t="s">
        <v>440</v>
      </c>
      <c r="D56" s="7" t="s">
        <v>243</v>
      </c>
      <c r="E56" s="17" t="s">
        <v>512</v>
      </c>
      <c r="F56" s="17" t="s">
        <v>261</v>
      </c>
      <c r="G56" s="13">
        <v>30794541</v>
      </c>
      <c r="H56" s="13">
        <v>76700</v>
      </c>
      <c r="I56" s="13">
        <v>1129419</v>
      </c>
      <c r="J56" s="13">
        <v>17359453</v>
      </c>
      <c r="K56" s="13">
        <v>2103887</v>
      </c>
      <c r="L56" s="13">
        <v>4568685</v>
      </c>
      <c r="M56" s="13">
        <v>3834499</v>
      </c>
      <c r="N56" s="13">
        <v>29254264</v>
      </c>
      <c r="O56" s="19">
        <v>3.6999999999999998E-2</v>
      </c>
      <c r="P56" s="13">
        <v>0</v>
      </c>
      <c r="Q56" s="21">
        <f>1381230/29247604</f>
        <v>4.7225406908545396E-2</v>
      </c>
      <c r="R56" s="13">
        <v>1381080</v>
      </c>
      <c r="S56" s="13">
        <v>0</v>
      </c>
      <c r="T56" s="13">
        <v>685444</v>
      </c>
      <c r="U56" s="13">
        <v>57047</v>
      </c>
      <c r="V56" s="13">
        <f>95024+81796</f>
        <v>176820</v>
      </c>
      <c r="W56" s="13">
        <v>76030</v>
      </c>
      <c r="X56" s="13">
        <v>0</v>
      </c>
      <c r="Y56" s="13">
        <v>15513</v>
      </c>
      <c r="Z56" s="13">
        <v>906</v>
      </c>
      <c r="AA56" s="13">
        <f>13973+95066+54350</f>
        <v>163389</v>
      </c>
      <c r="AB56" s="13">
        <v>8834</v>
      </c>
      <c r="AC56" s="13">
        <v>0</v>
      </c>
      <c r="AD56" s="13">
        <v>23646</v>
      </c>
      <c r="AE56" s="13">
        <v>60490</v>
      </c>
      <c r="AF56" s="13">
        <v>1327978</v>
      </c>
      <c r="AG56" s="19">
        <f t="shared" si="8"/>
        <v>4.5550453396065296E-2</v>
      </c>
      <c r="AH56" s="13">
        <v>166029</v>
      </c>
      <c r="AI56" s="13">
        <v>124333</v>
      </c>
      <c r="AJ56" s="13">
        <v>0</v>
      </c>
      <c r="AK56" s="13">
        <v>180311</v>
      </c>
      <c r="AL56" s="13">
        <v>0</v>
      </c>
      <c r="AM56" s="13">
        <v>0</v>
      </c>
      <c r="AN56" s="13">
        <v>0</v>
      </c>
      <c r="AO56" s="13">
        <v>6888</v>
      </c>
      <c r="AP56" s="13">
        <v>4632</v>
      </c>
      <c r="AQ56" s="13">
        <v>-471</v>
      </c>
      <c r="AR56" s="13">
        <v>-1239</v>
      </c>
      <c r="AS56" s="13">
        <v>-1069</v>
      </c>
      <c r="AT56" s="13">
        <v>25</v>
      </c>
      <c r="AU56" s="13">
        <f t="shared" si="9"/>
        <v>8766</v>
      </c>
      <c r="AV56" s="13">
        <v>6195</v>
      </c>
      <c r="AW56" s="13">
        <v>3129</v>
      </c>
      <c r="AX56" s="13">
        <v>-382</v>
      </c>
      <c r="AY56" s="13">
        <v>-1079</v>
      </c>
      <c r="AZ56" s="13">
        <v>-993</v>
      </c>
      <c r="BA56" s="13">
        <v>18</v>
      </c>
      <c r="BB56" s="13">
        <f t="shared" si="10"/>
        <v>6888</v>
      </c>
      <c r="BC56" s="13">
        <v>16</v>
      </c>
    </row>
    <row r="57" spans="1:55" x14ac:dyDescent="0.25">
      <c r="A57" s="7">
        <v>5</v>
      </c>
      <c r="B57" s="7" t="s">
        <v>178</v>
      </c>
      <c r="C57" s="7" t="s">
        <v>42</v>
      </c>
      <c r="D57" s="7" t="s">
        <v>243</v>
      </c>
      <c r="E57" s="7" t="s">
        <v>290</v>
      </c>
      <c r="F57" s="17" t="s">
        <v>261</v>
      </c>
      <c r="G57" s="13">
        <v>5584461</v>
      </c>
      <c r="H57" s="13">
        <v>22807</v>
      </c>
      <c r="I57" s="13">
        <v>418579</v>
      </c>
      <c r="J57" s="13">
        <v>2432229</v>
      </c>
      <c r="K57" s="13">
        <v>461872</v>
      </c>
      <c r="L57" s="13">
        <v>1241363</v>
      </c>
      <c r="M57" s="13">
        <v>495755</v>
      </c>
      <c r="N57" s="13">
        <v>5014977</v>
      </c>
      <c r="O57" s="19">
        <v>0.06</v>
      </c>
      <c r="P57" s="13">
        <v>146706</v>
      </c>
      <c r="Q57" s="21">
        <f>348979/4839450</f>
        <v>7.2111293638739943E-2</v>
      </c>
      <c r="R57" s="13">
        <v>348528</v>
      </c>
      <c r="S57" s="13">
        <v>0</v>
      </c>
      <c r="T57" s="13">
        <v>114705</v>
      </c>
      <c r="U57" s="13">
        <v>8916</v>
      </c>
      <c r="V57" s="13">
        <v>25304</v>
      </c>
      <c r="W57" s="13">
        <f>20250+4558</f>
        <v>24808</v>
      </c>
      <c r="X57" s="13">
        <v>3490</v>
      </c>
      <c r="Y57" s="13">
        <v>7300</v>
      </c>
      <c r="Z57" s="13">
        <v>0</v>
      </c>
      <c r="AA57" s="13">
        <f>5275+17909+15375</f>
        <v>38559</v>
      </c>
      <c r="AB57" s="13">
        <v>3887</v>
      </c>
      <c r="AC57" s="13">
        <v>2949</v>
      </c>
      <c r="AD57" s="13">
        <v>9833</v>
      </c>
      <c r="AE57" s="13">
        <v>47324</v>
      </c>
      <c r="AF57" s="13">
        <v>265118</v>
      </c>
      <c r="AG57" s="19">
        <f t="shared" si="8"/>
        <v>0.17850164832263368</v>
      </c>
      <c r="AH57" s="13">
        <v>25410</v>
      </c>
      <c r="AI57" s="13">
        <v>124333</v>
      </c>
      <c r="AJ57" s="13">
        <v>0</v>
      </c>
      <c r="AK57" s="13">
        <v>38104</v>
      </c>
      <c r="AL57" s="13">
        <v>0</v>
      </c>
      <c r="AM57" s="13">
        <v>0</v>
      </c>
      <c r="AN57" s="13">
        <v>0</v>
      </c>
      <c r="AO57" s="13">
        <v>1059</v>
      </c>
      <c r="AP57" s="13">
        <v>809</v>
      </c>
      <c r="AQ57" s="13">
        <v>-183</v>
      </c>
      <c r="AR57" s="13">
        <v>-90</v>
      </c>
      <c r="AS57" s="13">
        <v>-212</v>
      </c>
      <c r="AT57" s="13">
        <f>13-1</f>
        <v>12</v>
      </c>
      <c r="AU57" s="13">
        <f t="shared" si="9"/>
        <v>1395</v>
      </c>
      <c r="AV57" s="13">
        <v>1026</v>
      </c>
      <c r="AW57" s="13">
        <v>487</v>
      </c>
      <c r="AX57" s="13">
        <v>-150</v>
      </c>
      <c r="AY57" s="13">
        <v>-79</v>
      </c>
      <c r="AZ57" s="13">
        <v>-231</v>
      </c>
      <c r="BA57" s="13">
        <f>1+6-1</f>
        <v>6</v>
      </c>
      <c r="BB57" s="13">
        <f t="shared" si="10"/>
        <v>1059</v>
      </c>
      <c r="BC57" s="13">
        <v>0</v>
      </c>
    </row>
    <row r="58" spans="1:55" x14ac:dyDescent="0.25">
      <c r="A58" s="7">
        <v>5</v>
      </c>
      <c r="B58" s="7" t="s">
        <v>409</v>
      </c>
      <c r="C58" s="7" t="s">
        <v>246</v>
      </c>
      <c r="D58" s="7" t="s">
        <v>243</v>
      </c>
      <c r="E58" s="17" t="s">
        <v>512</v>
      </c>
      <c r="F58" s="17" t="s">
        <v>261</v>
      </c>
      <c r="G58" s="13">
        <v>7433472</v>
      </c>
      <c r="H58" s="13">
        <v>25602</v>
      </c>
      <c r="I58" s="13">
        <v>155995</v>
      </c>
      <c r="J58" s="13">
        <v>4591885</v>
      </c>
      <c r="K58" s="13">
        <v>333368</v>
      </c>
      <c r="L58" s="13">
        <v>1234597</v>
      </c>
      <c r="M58" s="13">
        <v>636582</v>
      </c>
      <c r="N58" s="13">
        <v>7217975</v>
      </c>
      <c r="O58" s="19">
        <v>0.09</v>
      </c>
      <c r="P58" s="13">
        <v>0</v>
      </c>
      <c r="Q58" s="21">
        <f>422433/7217975</f>
        <v>5.8525140361389449E-2</v>
      </c>
      <c r="R58" s="13">
        <v>421543</v>
      </c>
      <c r="S58" s="13">
        <v>0</v>
      </c>
      <c r="T58" s="13">
        <v>116896</v>
      </c>
      <c r="U58" s="13">
        <v>10237</v>
      </c>
      <c r="V58" s="13">
        <v>20998</v>
      </c>
      <c r="W58" s="13">
        <v>19720</v>
      </c>
      <c r="X58" s="13">
        <v>6275</v>
      </c>
      <c r="Y58" s="13">
        <v>66235</v>
      </c>
      <c r="Z58" s="13">
        <v>0</v>
      </c>
      <c r="AA58" s="13">
        <f>7030+22475+9442</f>
        <v>38947</v>
      </c>
      <c r="AB58" s="13">
        <v>5621</v>
      </c>
      <c r="AC58" s="13">
        <v>2151</v>
      </c>
      <c r="AD58" s="13">
        <v>10940</v>
      </c>
      <c r="AE58" s="13">
        <v>33321</v>
      </c>
      <c r="AF58" s="13">
        <v>321416</v>
      </c>
      <c r="AG58" s="19">
        <f t="shared" si="8"/>
        <v>0.10366938795828459</v>
      </c>
      <c r="AH58" s="13">
        <v>41511</v>
      </c>
      <c r="AI58" s="13">
        <v>124333</v>
      </c>
      <c r="AJ58" s="13">
        <v>0</v>
      </c>
      <c r="AK58" s="13">
        <v>44298</v>
      </c>
      <c r="AL58" s="13">
        <v>0</v>
      </c>
      <c r="AM58" s="13">
        <v>0</v>
      </c>
      <c r="AN58" s="13">
        <v>0</v>
      </c>
      <c r="AO58" s="13">
        <v>1682</v>
      </c>
      <c r="AP58" s="13">
        <v>1319</v>
      </c>
      <c r="AQ58" s="13">
        <v>-95</v>
      </c>
      <c r="AR58" s="13">
        <v>-431</v>
      </c>
      <c r="AS58" s="13">
        <v>-217</v>
      </c>
      <c r="AT58" s="13">
        <v>0</v>
      </c>
      <c r="AU58" s="13">
        <f t="shared" si="9"/>
        <v>2258</v>
      </c>
      <c r="AV58" s="13">
        <v>1415</v>
      </c>
      <c r="AW58" s="13">
        <v>884</v>
      </c>
      <c r="AX58" s="13">
        <v>-67</v>
      </c>
      <c r="AY58" s="13">
        <v>-303</v>
      </c>
      <c r="AZ58" s="13">
        <v>-244</v>
      </c>
      <c r="BA58" s="13">
        <v>-3</v>
      </c>
      <c r="BB58" s="13">
        <f t="shared" si="10"/>
        <v>1682</v>
      </c>
      <c r="BC58" s="13">
        <v>4</v>
      </c>
    </row>
    <row r="59" spans="1:55" x14ac:dyDescent="0.25">
      <c r="A59" s="7">
        <v>5</v>
      </c>
      <c r="B59" s="7" t="s">
        <v>441</v>
      </c>
      <c r="C59" s="7" t="s">
        <v>190</v>
      </c>
      <c r="D59" s="7" t="s">
        <v>304</v>
      </c>
      <c r="E59" s="17" t="s">
        <v>449</v>
      </c>
      <c r="F59" s="17" t="s">
        <v>296</v>
      </c>
      <c r="G59" s="13">
        <v>4750963</v>
      </c>
      <c r="H59" s="13">
        <v>9391</v>
      </c>
      <c r="I59" s="13">
        <v>124983</v>
      </c>
      <c r="J59" s="13">
        <v>3019753</v>
      </c>
      <c r="K59" s="13">
        <v>293234</v>
      </c>
      <c r="L59" s="13">
        <v>610307</v>
      </c>
      <c r="M59" s="13">
        <v>318915</v>
      </c>
      <c r="N59" s="13">
        <v>4668517</v>
      </c>
      <c r="O59" s="19">
        <v>7.0000000000000007E-2</v>
      </c>
      <c r="P59" s="13">
        <v>8631</v>
      </c>
      <c r="Q59" s="21">
        <f>434939/4668517</f>
        <v>9.316427465081524E-2</v>
      </c>
      <c r="R59" s="13">
        <v>426308</v>
      </c>
      <c r="S59" s="13">
        <v>0</v>
      </c>
      <c r="T59" s="13">
        <v>118736</v>
      </c>
      <c r="U59" s="13">
        <v>10749</v>
      </c>
      <c r="V59" s="13">
        <v>12352</v>
      </c>
      <c r="W59" s="13">
        <f>15600+2867</f>
        <v>18467</v>
      </c>
      <c r="X59" s="13">
        <v>8100</v>
      </c>
      <c r="Y59" s="13">
        <v>67525</v>
      </c>
      <c r="Z59" s="13">
        <v>0</v>
      </c>
      <c r="AA59" s="13">
        <f>6446+6240+7009</f>
        <v>19695</v>
      </c>
      <c r="AB59" s="13">
        <v>3451</v>
      </c>
      <c r="AC59" s="13">
        <v>0</v>
      </c>
      <c r="AD59" s="13">
        <v>933</v>
      </c>
      <c r="AE59" s="13">
        <v>15600</v>
      </c>
      <c r="AF59" s="13">
        <v>280560</v>
      </c>
      <c r="AG59" s="19">
        <f t="shared" si="8"/>
        <v>5.5603079555175364E-2</v>
      </c>
      <c r="AH59" s="13">
        <v>7003</v>
      </c>
      <c r="AI59" s="13">
        <v>124333</v>
      </c>
      <c r="AJ59" s="13">
        <v>0</v>
      </c>
      <c r="AK59" s="13">
        <v>38659</v>
      </c>
      <c r="AL59" s="13">
        <v>0</v>
      </c>
      <c r="AM59" s="13">
        <v>0</v>
      </c>
      <c r="AN59" s="13">
        <v>0</v>
      </c>
      <c r="AO59" s="13">
        <v>1334</v>
      </c>
      <c r="AP59" s="13">
        <v>821</v>
      </c>
      <c r="AQ59" s="13">
        <v>-97</v>
      </c>
      <c r="AR59" s="13">
        <v>-220</v>
      </c>
      <c r="AS59" s="13">
        <v>-419</v>
      </c>
      <c r="AT59" s="13">
        <v>-1</v>
      </c>
      <c r="AU59" s="13">
        <f t="shared" si="9"/>
        <v>1418</v>
      </c>
      <c r="AV59" s="13">
        <v>1497</v>
      </c>
      <c r="AW59" s="13">
        <v>614</v>
      </c>
      <c r="AX59" s="13">
        <v>-85</v>
      </c>
      <c r="AY59" s="13">
        <v>-207</v>
      </c>
      <c r="AZ59" s="13">
        <v>-484</v>
      </c>
      <c r="BA59" s="13">
        <v>-1</v>
      </c>
      <c r="BB59" s="13">
        <f t="shared" si="10"/>
        <v>1334</v>
      </c>
      <c r="BC59" s="13">
        <v>18</v>
      </c>
    </row>
    <row r="60" spans="1:55" x14ac:dyDescent="0.25">
      <c r="A60" s="7">
        <v>6</v>
      </c>
      <c r="B60" s="7" t="s">
        <v>41</v>
      </c>
      <c r="C60" s="7" t="s">
        <v>116</v>
      </c>
      <c r="D60" s="7" t="s">
        <v>489</v>
      </c>
      <c r="E60" s="7" t="s">
        <v>331</v>
      </c>
      <c r="F60" s="7" t="s">
        <v>475</v>
      </c>
      <c r="G60" s="13">
        <v>34031862</v>
      </c>
      <c r="H60" s="13">
        <v>313119</v>
      </c>
      <c r="I60" s="13">
        <v>1886914</v>
      </c>
      <c r="J60" s="13">
        <v>14753629</v>
      </c>
      <c r="K60" s="13">
        <v>7995864</v>
      </c>
      <c r="L60" s="13">
        <v>3754130</v>
      </c>
      <c r="M60" s="13">
        <v>3793271</v>
      </c>
      <c r="N60" s="13">
        <v>32491163</v>
      </c>
      <c r="O60" s="19">
        <v>0.17</v>
      </c>
      <c r="P60" s="13">
        <v>8566</v>
      </c>
      <c r="Q60" s="21">
        <f>2037618/32343150</f>
        <v>6.299998608669842E-2</v>
      </c>
      <c r="R60" s="13">
        <v>2039832</v>
      </c>
      <c r="S60" s="13">
        <v>0</v>
      </c>
      <c r="T60" s="13">
        <v>1073282</v>
      </c>
      <c r="U60" s="13">
        <v>92629</v>
      </c>
      <c r="V60" s="13">
        <v>162139</v>
      </c>
      <c r="W60" s="13">
        <f>231834+26849</f>
        <v>258683</v>
      </c>
      <c r="X60" s="13">
        <v>71000</v>
      </c>
      <c r="Y60" s="13">
        <v>3186</v>
      </c>
      <c r="Z60" s="13">
        <v>3463</v>
      </c>
      <c r="AA60" s="13">
        <f>41134+103666+83080</f>
        <v>227880</v>
      </c>
      <c r="AB60" s="13">
        <v>23091</v>
      </c>
      <c r="AC60" s="13">
        <v>1091</v>
      </c>
      <c r="AD60" s="13">
        <v>246384</v>
      </c>
      <c r="AE60" s="13">
        <v>0</v>
      </c>
      <c r="AF60" s="13">
        <v>2433517</v>
      </c>
      <c r="AG60" s="19">
        <f t="shared" si="8"/>
        <v>0</v>
      </c>
      <c r="AH60" s="13">
        <v>357512</v>
      </c>
      <c r="AI60" s="13">
        <v>35821</v>
      </c>
      <c r="AJ60" s="13">
        <v>0</v>
      </c>
      <c r="AK60" s="13">
        <v>406283</v>
      </c>
      <c r="AL60" s="13">
        <v>0</v>
      </c>
      <c r="AM60" s="13">
        <v>0</v>
      </c>
      <c r="AN60" s="13">
        <v>0</v>
      </c>
      <c r="AO60" s="13">
        <v>9112</v>
      </c>
      <c r="AP60" s="13">
        <v>4577</v>
      </c>
      <c r="AQ60" s="13">
        <v>-354</v>
      </c>
      <c r="AR60" s="13">
        <v>-3480</v>
      </c>
      <c r="AS60" s="13">
        <v>-1201</v>
      </c>
      <c r="AT60" s="13">
        <f>6+52-1</f>
        <v>57</v>
      </c>
      <c r="AU60" s="13">
        <f t="shared" si="9"/>
        <v>8711</v>
      </c>
      <c r="AV60" s="13">
        <v>9218</v>
      </c>
      <c r="AW60" s="13">
        <v>3785</v>
      </c>
      <c r="AX60" s="13">
        <v>-337</v>
      </c>
      <c r="AY60" s="13">
        <v>-2911</v>
      </c>
      <c r="AZ60" s="13">
        <v>-774</v>
      </c>
      <c r="BA60" s="13">
        <f>20+114-3</f>
        <v>131</v>
      </c>
      <c r="BB60" s="13">
        <f t="shared" si="10"/>
        <v>9112</v>
      </c>
      <c r="BC60" s="13">
        <v>78</v>
      </c>
    </row>
    <row r="61" spans="1:55" x14ac:dyDescent="0.25">
      <c r="A61" s="7">
        <v>6</v>
      </c>
      <c r="B61" s="7" t="s">
        <v>188</v>
      </c>
      <c r="C61" s="7" t="s">
        <v>490</v>
      </c>
      <c r="D61" s="7" t="s">
        <v>489</v>
      </c>
      <c r="E61" s="17" t="s">
        <v>143</v>
      </c>
      <c r="F61" s="17" t="s">
        <v>475</v>
      </c>
      <c r="G61" s="13">
        <v>29884420</v>
      </c>
      <c r="H61" s="13">
        <v>167497</v>
      </c>
      <c r="I61" s="13">
        <v>1455655</v>
      </c>
      <c r="J61" s="13">
        <v>14477123</v>
      </c>
      <c r="K61" s="13">
        <v>3654150</v>
      </c>
      <c r="L61" s="13">
        <v>2897804</v>
      </c>
      <c r="M61" s="13">
        <v>4279752</v>
      </c>
      <c r="N61" s="13">
        <v>26968289</v>
      </c>
      <c r="O61" s="19">
        <v>0.2172</v>
      </c>
      <c r="P61" s="13">
        <v>0</v>
      </c>
      <c r="Q61" s="21">
        <f>1621059/26924240</f>
        <v>6.0208161864550309E-2</v>
      </c>
      <c r="R61" s="13">
        <v>1615061</v>
      </c>
      <c r="S61" s="13">
        <v>0</v>
      </c>
      <c r="T61" s="13">
        <v>455766</v>
      </c>
      <c r="U61" s="13">
        <v>36073</v>
      </c>
      <c r="V61" s="13">
        <v>78773</v>
      </c>
      <c r="W61" s="13">
        <v>124731</v>
      </c>
      <c r="X61" s="13">
        <v>17383</v>
      </c>
      <c r="Y61" s="13">
        <v>409640</v>
      </c>
      <c r="Z61" s="13">
        <v>94854</v>
      </c>
      <c r="AA61" s="13">
        <f>20424+55536+69389</f>
        <v>145349</v>
      </c>
      <c r="AB61" s="13">
        <v>7228</v>
      </c>
      <c r="AC61" s="13">
        <v>38769</v>
      </c>
      <c r="AD61" s="13">
        <v>109402</v>
      </c>
      <c r="AE61" s="13">
        <v>564117</v>
      </c>
      <c r="AF61" s="13">
        <v>1699935</v>
      </c>
      <c r="AG61" s="19">
        <f t="shared" si="8"/>
        <v>0.33184621764949834</v>
      </c>
      <c r="AH61" s="13">
        <v>201141</v>
      </c>
      <c r="AI61" s="13">
        <v>124333</v>
      </c>
      <c r="AJ61" s="13">
        <v>0</v>
      </c>
      <c r="AK61" s="13">
        <v>263831</v>
      </c>
      <c r="AL61" s="13">
        <v>0</v>
      </c>
      <c r="AM61" s="13">
        <v>0</v>
      </c>
      <c r="AN61" s="13">
        <v>0</v>
      </c>
      <c r="AO61" s="13">
        <v>6574</v>
      </c>
      <c r="AP61" s="13">
        <v>5127</v>
      </c>
      <c r="AQ61" s="13">
        <v>-314</v>
      </c>
      <c r="AR61" s="13">
        <v>-1479</v>
      </c>
      <c r="AS61" s="13">
        <v>-1445</v>
      </c>
      <c r="AT61" s="13">
        <v>-93</v>
      </c>
      <c r="AU61" s="13">
        <f t="shared" si="9"/>
        <v>8370</v>
      </c>
      <c r="AV61" s="13">
        <v>5113</v>
      </c>
      <c r="AW61" s="13">
        <v>3746</v>
      </c>
      <c r="AX61" s="13">
        <v>-197</v>
      </c>
      <c r="AY61" s="13">
        <v>-1043</v>
      </c>
      <c r="AZ61" s="13">
        <v>-986</v>
      </c>
      <c r="BA61" s="13">
        <v>-59</v>
      </c>
      <c r="BB61" s="13">
        <f t="shared" si="10"/>
        <v>6574</v>
      </c>
      <c r="BC61" s="13">
        <v>40</v>
      </c>
    </row>
    <row r="62" spans="1:55" x14ac:dyDescent="0.25">
      <c r="A62" s="7">
        <v>6</v>
      </c>
      <c r="B62" s="7" t="s">
        <v>340</v>
      </c>
      <c r="C62" s="7" t="s">
        <v>264</v>
      </c>
      <c r="D62" s="7" t="s">
        <v>489</v>
      </c>
      <c r="E62" s="17" t="s">
        <v>331</v>
      </c>
      <c r="F62" s="17" t="s">
        <v>475</v>
      </c>
      <c r="G62" s="13">
        <v>9037218</v>
      </c>
      <c r="H62" s="13">
        <v>25425</v>
      </c>
      <c r="I62" s="13">
        <v>253064</v>
      </c>
      <c r="J62" s="13">
        <v>4120239</v>
      </c>
      <c r="K62" s="13">
        <v>827669</v>
      </c>
      <c r="L62" s="13">
        <v>1606885</v>
      </c>
      <c r="M62" s="13">
        <v>955943</v>
      </c>
      <c r="N62" s="13">
        <v>8397220</v>
      </c>
      <c r="O62" s="19">
        <v>9.6199999999999994E-2</v>
      </c>
      <c r="P62" s="13">
        <f>7942-147</f>
        <v>7795</v>
      </c>
      <c r="Q62" s="21">
        <f>809479/8312429</f>
        <v>9.7381764102887375E-2</v>
      </c>
      <c r="R62" s="13">
        <v>809496</v>
      </c>
      <c r="S62" s="13">
        <v>1915</v>
      </c>
      <c r="T62" s="13">
        <v>313715</v>
      </c>
      <c r="U62" s="13">
        <v>26292</v>
      </c>
      <c r="V62" s="13">
        <v>45434</v>
      </c>
      <c r="W62" s="13">
        <v>46767</v>
      </c>
      <c r="X62" s="13">
        <v>28815</v>
      </c>
      <c r="Y62" s="13">
        <v>27159</v>
      </c>
      <c r="Z62" s="13">
        <v>22409</v>
      </c>
      <c r="AA62" s="13">
        <f>12576+44662+25617</f>
        <v>82855</v>
      </c>
      <c r="AB62" s="13">
        <v>9077</v>
      </c>
      <c r="AC62" s="13">
        <v>1193</v>
      </c>
      <c r="AD62" s="13">
        <v>59984</v>
      </c>
      <c r="AE62" s="13">
        <v>0</v>
      </c>
      <c r="AF62" s="13">
        <v>741422</v>
      </c>
      <c r="AG62" s="19">
        <f t="shared" si="8"/>
        <v>0</v>
      </c>
      <c r="AH62" s="13">
        <v>21265</v>
      </c>
      <c r="AI62" s="13">
        <v>124333</v>
      </c>
      <c r="AJ62" s="13">
        <v>0</v>
      </c>
      <c r="AK62" s="13">
        <v>65326</v>
      </c>
      <c r="AL62" s="13">
        <v>0</v>
      </c>
      <c r="AM62" s="13">
        <v>0</v>
      </c>
      <c r="AN62" s="13">
        <v>0</v>
      </c>
      <c r="AO62" s="13">
        <v>1719</v>
      </c>
      <c r="AP62" s="13">
        <v>1517</v>
      </c>
      <c r="AQ62" s="13">
        <v>-110</v>
      </c>
      <c r="AR62" s="13">
        <v>-294</v>
      </c>
      <c r="AS62" s="13">
        <v>-168</v>
      </c>
      <c r="AT62" s="13">
        <f>9+5+11-2</f>
        <v>23</v>
      </c>
      <c r="AU62" s="13">
        <f t="shared" si="9"/>
        <v>2687</v>
      </c>
      <c r="AV62" s="13">
        <v>1674</v>
      </c>
      <c r="AW62" s="13">
        <v>537</v>
      </c>
      <c r="AX62" s="13">
        <v>-110</v>
      </c>
      <c r="AY62" s="13">
        <v>-259</v>
      </c>
      <c r="AZ62" s="13">
        <v>-130</v>
      </c>
      <c r="BA62" s="13">
        <f>1+8-1-1</f>
        <v>7</v>
      </c>
      <c r="BB62" s="13">
        <f t="shared" si="10"/>
        <v>1719</v>
      </c>
      <c r="BC62" s="13">
        <v>13</v>
      </c>
    </row>
    <row r="63" spans="1:55" x14ac:dyDescent="0.25">
      <c r="A63" s="7">
        <v>6</v>
      </c>
      <c r="B63" s="7" t="s">
        <v>485</v>
      </c>
      <c r="C63" s="7" t="s">
        <v>171</v>
      </c>
      <c r="D63" s="7" t="s">
        <v>489</v>
      </c>
      <c r="E63" s="17" t="s">
        <v>331</v>
      </c>
      <c r="F63" s="17" t="s">
        <v>475</v>
      </c>
      <c r="G63" s="13">
        <v>22058390</v>
      </c>
      <c r="H63" s="13">
        <v>113793</v>
      </c>
      <c r="I63" s="13">
        <v>484884</v>
      </c>
      <c r="J63" s="13">
        <v>10500977</v>
      </c>
      <c r="K63" s="13">
        <v>4616742</v>
      </c>
      <c r="L63" s="13">
        <v>2025724</v>
      </c>
      <c r="M63" s="13">
        <v>2623001</v>
      </c>
      <c r="N63" s="13">
        <v>21611370</v>
      </c>
      <c r="O63" s="19">
        <v>7.9000000000000001E-2</v>
      </c>
      <c r="P63" s="13">
        <v>0</v>
      </c>
      <c r="Q63" s="21">
        <f>1718793/21484907</f>
        <v>8.0000020479492881E-2</v>
      </c>
      <c r="R63" s="13">
        <v>1718463</v>
      </c>
      <c r="S63" s="13">
        <v>0</v>
      </c>
      <c r="T63" s="13">
        <f>814386*(1-0.0328)</f>
        <v>787674.13919999998</v>
      </c>
      <c r="U63" s="13">
        <f>65470*(1-0.0328)</f>
        <v>63322.583999999995</v>
      </c>
      <c r="V63" s="13">
        <f>171586*(1-0.0328)</f>
        <v>165957.9792</v>
      </c>
      <c r="W63" s="13">
        <v>201260</v>
      </c>
      <c r="X63" s="13">
        <v>48000</v>
      </c>
      <c r="Y63" s="13">
        <v>21598</v>
      </c>
      <c r="Z63" s="13">
        <v>42872</v>
      </c>
      <c r="AA63" s="13">
        <f>38049+73924+73711</f>
        <v>185684</v>
      </c>
      <c r="AB63" s="13">
        <v>14284</v>
      </c>
      <c r="AC63" s="13">
        <v>21787</v>
      </c>
      <c r="AD63" s="13">
        <v>85070</v>
      </c>
      <c r="AE63" s="13">
        <v>166956</v>
      </c>
      <c r="AF63" s="13">
        <v>1770964</v>
      </c>
      <c r="AG63" s="19">
        <f t="shared" si="8"/>
        <v>9.427407897619601E-2</v>
      </c>
      <c r="AH63" s="13">
        <v>214979</v>
      </c>
      <c r="AI63" s="13">
        <v>124333</v>
      </c>
      <c r="AJ63" s="13">
        <v>0</v>
      </c>
      <c r="AK63" s="13">
        <v>308810</v>
      </c>
      <c r="AL63" s="13">
        <v>7746</v>
      </c>
      <c r="AM63" s="13">
        <v>7746</v>
      </c>
      <c r="AN63" s="13">
        <v>0</v>
      </c>
      <c r="AO63" s="13">
        <v>5272</v>
      </c>
      <c r="AP63" s="13">
        <v>2808</v>
      </c>
      <c r="AQ63" s="13">
        <v>-157</v>
      </c>
      <c r="AR63" s="13">
        <v>-1578</v>
      </c>
      <c r="AS63" s="13">
        <v>-719</v>
      </c>
      <c r="AT63" s="13">
        <f>2+18-5+13</f>
        <v>28</v>
      </c>
      <c r="AU63" s="13">
        <f t="shared" si="9"/>
        <v>5654</v>
      </c>
      <c r="AV63" s="13">
        <v>4904</v>
      </c>
      <c r="AW63" s="13">
        <v>2463</v>
      </c>
      <c r="AX63" s="13">
        <v>-197</v>
      </c>
      <c r="AY63" s="13">
        <v>-1597</v>
      </c>
      <c r="AZ63" s="13">
        <v>-576</v>
      </c>
      <c r="BA63" s="13">
        <f>2+5-1+269</f>
        <v>275</v>
      </c>
      <c r="BB63" s="13">
        <f t="shared" si="10"/>
        <v>5272</v>
      </c>
      <c r="BC63" s="13">
        <v>10</v>
      </c>
    </row>
    <row r="64" spans="1:55" x14ac:dyDescent="0.25">
      <c r="A64" s="7">
        <v>6</v>
      </c>
      <c r="B64" s="7" t="s">
        <v>522</v>
      </c>
      <c r="C64" s="7" t="s">
        <v>264</v>
      </c>
      <c r="D64" s="7" t="s">
        <v>489</v>
      </c>
      <c r="E64" s="17" t="s">
        <v>331</v>
      </c>
      <c r="F64" s="17" t="s">
        <v>475</v>
      </c>
      <c r="G64" s="13">
        <v>5629624</v>
      </c>
      <c r="H64" s="13">
        <v>6204</v>
      </c>
      <c r="I64" s="13">
        <v>100706</v>
      </c>
      <c r="J64" s="13">
        <v>3003230</v>
      </c>
      <c r="K64" s="13">
        <v>311960</v>
      </c>
      <c r="L64" s="13">
        <v>1018556</v>
      </c>
      <c r="M64" s="13">
        <v>666715</v>
      </c>
      <c r="N64" s="13">
        <v>5593232</v>
      </c>
      <c r="O64" s="19">
        <v>4.5100000000000001E-2</v>
      </c>
      <c r="P64" s="13">
        <v>0</v>
      </c>
      <c r="Q64" s="21">
        <f>555632/5556323</f>
        <v>9.9999946007458526E-2</v>
      </c>
      <c r="R64" s="13">
        <v>555632</v>
      </c>
      <c r="S64" s="13">
        <v>0</v>
      </c>
      <c r="T64" s="13">
        <v>126481</v>
      </c>
      <c r="U64" s="13">
        <v>15913</v>
      </c>
      <c r="V64" s="13">
        <v>16719</v>
      </c>
      <c r="W64" s="13">
        <v>13600</v>
      </c>
      <c r="X64" s="13">
        <v>15873</v>
      </c>
      <c r="Y64" s="13">
        <v>11569</v>
      </c>
      <c r="Z64" s="13">
        <v>0</v>
      </c>
      <c r="AA64" s="13">
        <f>2185+34634+13401</f>
        <v>50220</v>
      </c>
      <c r="AB64" s="13">
        <v>5669</v>
      </c>
      <c r="AC64" s="13">
        <v>545</v>
      </c>
      <c r="AD64" s="13">
        <v>135913</v>
      </c>
      <c r="AE64" s="13">
        <v>24809</v>
      </c>
      <c r="AF64" s="13">
        <v>440416</v>
      </c>
      <c r="AG64" s="19">
        <f t="shared" si="8"/>
        <v>5.6330832667296375E-2</v>
      </c>
      <c r="AH64" s="13">
        <v>8834</v>
      </c>
      <c r="AI64" s="13">
        <v>124333</v>
      </c>
      <c r="AJ64" s="13">
        <v>0</v>
      </c>
      <c r="AK64" s="13">
        <v>45415</v>
      </c>
      <c r="AL64" s="13">
        <v>0</v>
      </c>
      <c r="AM64" s="13">
        <v>0</v>
      </c>
      <c r="AN64" s="13">
        <v>0</v>
      </c>
      <c r="AO64" s="13">
        <v>1169</v>
      </c>
      <c r="AP64" s="13">
        <v>613</v>
      </c>
      <c r="AQ64" s="13">
        <v>-64</v>
      </c>
      <c r="AR64" s="13">
        <v>-164</v>
      </c>
      <c r="AS64" s="13">
        <v>-59</v>
      </c>
      <c r="AT64" s="13">
        <f>1+1+6-5</f>
        <v>3</v>
      </c>
      <c r="AU64" s="13">
        <f t="shared" si="9"/>
        <v>1498</v>
      </c>
      <c r="AV64" s="13">
        <v>765</v>
      </c>
      <c r="AW64" s="13">
        <v>593</v>
      </c>
      <c r="AX64" s="13">
        <v>-44</v>
      </c>
      <c r="AY64" s="13">
        <v>-102</v>
      </c>
      <c r="AZ64" s="13">
        <v>-46</v>
      </c>
      <c r="BA64" s="13">
        <f>1+3-1</f>
        <v>3</v>
      </c>
      <c r="BB64" s="13">
        <f t="shared" si="10"/>
        <v>1169</v>
      </c>
      <c r="BC64" s="13">
        <v>0</v>
      </c>
    </row>
    <row r="65" spans="1:55" x14ac:dyDescent="0.25">
      <c r="A65" s="7">
        <v>7</v>
      </c>
      <c r="B65" s="7" t="s">
        <v>57</v>
      </c>
      <c r="C65" s="7" t="s">
        <v>110</v>
      </c>
      <c r="D65" s="7" t="s">
        <v>489</v>
      </c>
      <c r="E65" s="17" t="s">
        <v>449</v>
      </c>
      <c r="F65" s="17" t="s">
        <v>475</v>
      </c>
      <c r="G65" s="13">
        <v>16721552</v>
      </c>
      <c r="H65" s="13">
        <v>69082</v>
      </c>
      <c r="I65" s="13">
        <v>285256</v>
      </c>
      <c r="J65" s="13">
        <v>8890019</v>
      </c>
      <c r="K65" s="13">
        <v>1683444</v>
      </c>
      <c r="L65" s="13">
        <v>1539411</v>
      </c>
      <c r="M65" s="13">
        <v>2360134</v>
      </c>
      <c r="N65" s="13">
        <v>15695264</v>
      </c>
      <c r="O65" s="19">
        <v>0.12</v>
      </c>
      <c r="P65" s="13">
        <v>0</v>
      </c>
      <c r="Q65" s="21">
        <f>1224812/15689855</f>
        <v>7.8063946416330812E-2</v>
      </c>
      <c r="R65" s="13">
        <v>1222256</v>
      </c>
      <c r="S65" s="13">
        <v>0</v>
      </c>
      <c r="T65" s="13">
        <v>500296</v>
      </c>
      <c r="U65" s="13">
        <v>50734</v>
      </c>
      <c r="V65" s="13">
        <v>136104</v>
      </c>
      <c r="W65" s="13">
        <v>90594</v>
      </c>
      <c r="X65" s="13">
        <v>20052</v>
      </c>
      <c r="Y65" s="13">
        <v>19462</v>
      </c>
      <c r="Z65" s="13">
        <v>21891</v>
      </c>
      <c r="AA65" s="13">
        <f>22130+73124+64542</f>
        <v>159796</v>
      </c>
      <c r="AB65" s="13">
        <v>16910</v>
      </c>
      <c r="AC65" s="13">
        <v>11609</v>
      </c>
      <c r="AD65" s="13">
        <v>35280</v>
      </c>
      <c r="AE65" s="13">
        <v>42237</v>
      </c>
      <c r="AF65" s="13">
        <v>1151621</v>
      </c>
      <c r="AG65" s="19">
        <f t="shared" si="8"/>
        <v>3.6676128691644209E-2</v>
      </c>
      <c r="AH65" s="13">
        <v>89278</v>
      </c>
      <c r="AI65" s="13">
        <v>124333</v>
      </c>
      <c r="AJ65" s="13">
        <v>0</v>
      </c>
      <c r="AK65" s="13">
        <v>102306</v>
      </c>
      <c r="AL65" s="13">
        <v>0</v>
      </c>
      <c r="AM65" s="13">
        <v>0</v>
      </c>
      <c r="AN65" s="13">
        <v>0</v>
      </c>
      <c r="AO65" s="13">
        <v>4243</v>
      </c>
      <c r="AP65" s="13">
        <v>3138</v>
      </c>
      <c r="AQ65" s="13">
        <v>-185</v>
      </c>
      <c r="AR65" s="13">
        <v>-1168</v>
      </c>
      <c r="AS65" s="13">
        <v>-320</v>
      </c>
      <c r="AT65" s="13">
        <f>20-2</f>
        <v>18</v>
      </c>
      <c r="AU65" s="13">
        <f t="shared" si="9"/>
        <v>5726</v>
      </c>
      <c r="AV65" s="13">
        <v>3519</v>
      </c>
      <c r="AW65" s="13">
        <v>1904</v>
      </c>
      <c r="AX65" s="13">
        <v>-148</v>
      </c>
      <c r="AY65" s="13">
        <v>-800</v>
      </c>
      <c r="AZ65" s="13">
        <v>-243</v>
      </c>
      <c r="BA65" s="13">
        <f>1+10</f>
        <v>11</v>
      </c>
      <c r="BB65" s="13">
        <f t="shared" si="10"/>
        <v>4243</v>
      </c>
      <c r="BC65" s="13">
        <v>19</v>
      </c>
    </row>
    <row r="66" spans="1:55" x14ac:dyDescent="0.25">
      <c r="A66" s="7">
        <v>7</v>
      </c>
      <c r="B66" s="7" t="s">
        <v>61</v>
      </c>
      <c r="C66" s="7" t="s">
        <v>146</v>
      </c>
      <c r="D66" s="7" t="s">
        <v>489</v>
      </c>
      <c r="E66" s="17" t="s">
        <v>512</v>
      </c>
      <c r="F66" s="17" t="s">
        <v>475</v>
      </c>
      <c r="G66" s="13">
        <v>13782170</v>
      </c>
      <c r="H66" s="13">
        <v>30467</v>
      </c>
      <c r="I66" s="13">
        <v>412915</v>
      </c>
      <c r="J66" s="13">
        <v>5152655</v>
      </c>
      <c r="K66" s="13">
        <v>1424058</v>
      </c>
      <c r="L66" s="13">
        <v>3675749</v>
      </c>
      <c r="M66" s="13">
        <v>1866926</v>
      </c>
      <c r="N66" s="13">
        <v>13349044</v>
      </c>
      <c r="O66" s="19">
        <v>2.2599999999999999E-2</v>
      </c>
      <c r="P66" s="13">
        <v>0</v>
      </c>
      <c r="Q66" s="21">
        <f>884986/13238434</f>
        <v>6.6849749751367871E-2</v>
      </c>
      <c r="R66" s="13">
        <v>883879</v>
      </c>
      <c r="S66" s="13">
        <v>0</v>
      </c>
      <c r="T66" s="13">
        <v>351245</v>
      </c>
      <c r="U66" s="13">
        <v>32468</v>
      </c>
      <c r="V66" s="13">
        <v>104652</v>
      </c>
      <c r="W66" s="13">
        <f>40800+9860</f>
        <v>50660</v>
      </c>
      <c r="X66" s="13">
        <v>125</v>
      </c>
      <c r="Y66" s="13">
        <v>77769</v>
      </c>
      <c r="Z66" s="13">
        <v>0</v>
      </c>
      <c r="AA66" s="13">
        <f>10098+78742+34684</f>
        <v>123524</v>
      </c>
      <c r="AB66" s="13">
        <v>9481</v>
      </c>
      <c r="AC66" s="13">
        <v>5500</v>
      </c>
      <c r="AD66" s="13">
        <v>38723</v>
      </c>
      <c r="AE66" s="13">
        <v>96062</v>
      </c>
      <c r="AF66" s="13">
        <v>899184</v>
      </c>
      <c r="AG66" s="19">
        <f t="shared" si="8"/>
        <v>0.10683241694692076</v>
      </c>
      <c r="AH66" s="13">
        <v>119978</v>
      </c>
      <c r="AI66" s="13">
        <v>124333</v>
      </c>
      <c r="AJ66" s="13">
        <v>0</v>
      </c>
      <c r="AK66" s="13">
        <v>123181</v>
      </c>
      <c r="AL66" s="13">
        <v>0</v>
      </c>
      <c r="AM66" s="13">
        <v>0</v>
      </c>
      <c r="AN66" s="13">
        <v>0</v>
      </c>
      <c r="AO66" s="13">
        <v>3975</v>
      </c>
      <c r="AP66" s="13">
        <v>1856</v>
      </c>
      <c r="AQ66" s="13">
        <v>-91</v>
      </c>
      <c r="AR66" s="13">
        <v>-507</v>
      </c>
      <c r="AS66" s="13">
        <v>-655</v>
      </c>
      <c r="AT66" s="13">
        <v>-6</v>
      </c>
      <c r="AU66" s="13">
        <f t="shared" si="9"/>
        <v>4572</v>
      </c>
      <c r="AV66" s="13">
        <v>3770</v>
      </c>
      <c r="AW66" s="13">
        <v>1404</v>
      </c>
      <c r="AX66" s="13">
        <v>-82</v>
      </c>
      <c r="AY66" s="13">
        <v>-564</v>
      </c>
      <c r="AZ66" s="13">
        <v>-550</v>
      </c>
      <c r="BA66" s="13">
        <v>-3</v>
      </c>
      <c r="BB66" s="13">
        <f t="shared" si="10"/>
        <v>3975</v>
      </c>
      <c r="BC66" s="13">
        <v>26</v>
      </c>
    </row>
    <row r="67" spans="1:55" x14ac:dyDescent="0.25">
      <c r="A67" s="7">
        <v>7</v>
      </c>
      <c r="B67" s="7" t="s">
        <v>198</v>
      </c>
      <c r="C67" s="7" t="s">
        <v>207</v>
      </c>
      <c r="D67" s="7" t="s">
        <v>489</v>
      </c>
      <c r="E67" s="17" t="s">
        <v>449</v>
      </c>
      <c r="F67" s="17" t="s">
        <v>475</v>
      </c>
      <c r="G67" s="13">
        <v>18704481</v>
      </c>
      <c r="H67" s="13">
        <v>29617</v>
      </c>
      <c r="I67" s="13">
        <v>733994</v>
      </c>
      <c r="J67" s="13">
        <v>9901761</v>
      </c>
      <c r="K67" s="13">
        <v>2733529</v>
      </c>
      <c r="L67" s="13">
        <v>2151232</v>
      </c>
      <c r="M67" s="13">
        <v>1834498</v>
      </c>
      <c r="N67" s="13">
        <v>17832777</v>
      </c>
      <c r="O67" s="19">
        <v>0.1</v>
      </c>
      <c r="P67" s="13">
        <v>0</v>
      </c>
      <c r="Q67" s="21">
        <f>1190238/17828727</f>
        <v>6.67595616894016E-2</v>
      </c>
      <c r="R67" s="13">
        <v>1190127</v>
      </c>
      <c r="S67" s="13">
        <v>0</v>
      </c>
      <c r="T67" s="13">
        <v>508948</v>
      </c>
      <c r="U67" s="13">
        <v>40741</v>
      </c>
      <c r="V67" s="13">
        <v>98897</v>
      </c>
      <c r="W67" s="13">
        <v>89517</v>
      </c>
      <c r="X67" s="13">
        <v>30600</v>
      </c>
      <c r="Y67" s="13">
        <v>23356</v>
      </c>
      <c r="Z67" s="13">
        <v>21578</v>
      </c>
      <c r="AA67" s="13">
        <f>16479+68371+60916</f>
        <v>145766</v>
      </c>
      <c r="AB67" s="13">
        <v>9913</v>
      </c>
      <c r="AC67" s="13">
        <v>0</v>
      </c>
      <c r="AD67" s="13">
        <v>22285</v>
      </c>
      <c r="AE67" s="13">
        <v>50817</v>
      </c>
      <c r="AF67" s="13">
        <v>1120143</v>
      </c>
      <c r="AG67" s="19">
        <f t="shared" si="8"/>
        <v>4.5366529094945915E-2</v>
      </c>
      <c r="AH67" s="13">
        <v>157906</v>
      </c>
      <c r="AI67" s="13">
        <v>124333</v>
      </c>
      <c r="AJ67" s="13">
        <v>0</v>
      </c>
      <c r="AK67" s="13">
        <v>157561</v>
      </c>
      <c r="AL67" s="13">
        <v>0</v>
      </c>
      <c r="AM67" s="13">
        <v>0</v>
      </c>
      <c r="AN67" s="13">
        <v>0</v>
      </c>
      <c r="AO67" s="13">
        <v>4430</v>
      </c>
      <c r="AP67" s="13">
        <v>2656</v>
      </c>
      <c r="AQ67" s="13">
        <v>-226</v>
      </c>
      <c r="AR67" s="13">
        <v>-1412</v>
      </c>
      <c r="AS67" s="13">
        <v>-431</v>
      </c>
      <c r="AT67" s="13">
        <v>-10</v>
      </c>
      <c r="AU67" s="13">
        <f t="shared" si="9"/>
        <v>5007</v>
      </c>
      <c r="AV67" s="13">
        <v>3942</v>
      </c>
      <c r="AW67" s="13">
        <v>2300</v>
      </c>
      <c r="AX67" s="13">
        <v>-188</v>
      </c>
      <c r="AY67" s="13">
        <v>-1219</v>
      </c>
      <c r="AZ67" s="13">
        <v>-401</v>
      </c>
      <c r="BA67" s="13">
        <v>-4</v>
      </c>
      <c r="BB67" s="13">
        <f t="shared" si="10"/>
        <v>4430</v>
      </c>
      <c r="BC67" s="13">
        <v>39</v>
      </c>
    </row>
    <row r="68" spans="1:55" x14ac:dyDescent="0.25">
      <c r="A68" s="7">
        <v>7</v>
      </c>
      <c r="B68" s="7" t="s">
        <v>199</v>
      </c>
      <c r="C68" s="7" t="s">
        <v>33</v>
      </c>
      <c r="D68" s="7" t="s">
        <v>489</v>
      </c>
      <c r="E68" s="17" t="s">
        <v>512</v>
      </c>
      <c r="F68" s="17" t="s">
        <v>475</v>
      </c>
      <c r="G68" s="13">
        <v>25282938</v>
      </c>
      <c r="H68" s="13">
        <v>20038</v>
      </c>
      <c r="I68" s="13">
        <v>777944</v>
      </c>
      <c r="J68" s="13">
        <v>13000248</v>
      </c>
      <c r="K68" s="13">
        <v>2901654</v>
      </c>
      <c r="L68" s="13">
        <v>5195754</v>
      </c>
      <c r="M68" s="13">
        <v>1853197</v>
      </c>
      <c r="N68" s="13">
        <v>24258115</v>
      </c>
      <c r="O68" s="19">
        <v>5.9200000000000003E-2</v>
      </c>
      <c r="P68" s="13">
        <v>0</v>
      </c>
      <c r="Q68" s="21">
        <f>1207931/24158628</f>
        <v>4.9999983442768355E-2</v>
      </c>
      <c r="R68" s="13">
        <v>1207655</v>
      </c>
      <c r="S68" s="13">
        <v>0</v>
      </c>
      <c r="T68" s="13">
        <v>560232</v>
      </c>
      <c r="U68" s="13">
        <v>45568</v>
      </c>
      <c r="V68" s="13">
        <v>156676</v>
      </c>
      <c r="W68" s="13">
        <v>140960</v>
      </c>
      <c r="X68" s="13">
        <v>0</v>
      </c>
      <c r="Y68" s="13">
        <v>54339</v>
      </c>
      <c r="Z68" s="13">
        <v>2477</v>
      </c>
      <c r="AA68" s="13">
        <f>19014+69617+35443</f>
        <v>124074</v>
      </c>
      <c r="AB68" s="13">
        <v>11841</v>
      </c>
      <c r="AC68" s="13">
        <v>1197</v>
      </c>
      <c r="AD68" s="13">
        <v>9167</v>
      </c>
      <c r="AE68" s="13">
        <v>1195</v>
      </c>
      <c r="AF68" s="13">
        <v>1215867</v>
      </c>
      <c r="AG68" s="19">
        <f t="shared" si="8"/>
        <v>9.828377610380083E-4</v>
      </c>
      <c r="AH68" s="13">
        <v>177675</v>
      </c>
      <c r="AI68" s="13">
        <v>124333</v>
      </c>
      <c r="AJ68" s="13">
        <v>0</v>
      </c>
      <c r="AK68" s="13">
        <v>176826</v>
      </c>
      <c r="AL68" s="13">
        <v>0</v>
      </c>
      <c r="AM68" s="13">
        <v>0</v>
      </c>
      <c r="AN68" s="13">
        <v>0</v>
      </c>
      <c r="AO68" s="13">
        <v>4858</v>
      </c>
      <c r="AP68" s="13">
        <v>2333</v>
      </c>
      <c r="AQ68" s="13">
        <v>-250</v>
      </c>
      <c r="AR68" s="13">
        <v>-997</v>
      </c>
      <c r="AS68" s="13">
        <v>-942</v>
      </c>
      <c r="AT68" s="13">
        <f>2+11-3</f>
        <v>10</v>
      </c>
      <c r="AU68" s="13">
        <f t="shared" si="9"/>
        <v>5012</v>
      </c>
      <c r="AV68" s="13">
        <v>4918</v>
      </c>
      <c r="AW68" s="13">
        <v>1992</v>
      </c>
      <c r="AX68" s="13">
        <v>-206</v>
      </c>
      <c r="AY68" s="13">
        <v>-961</v>
      </c>
      <c r="AZ68" s="13">
        <v>-886</v>
      </c>
      <c r="BA68" s="13">
        <f>2+3-4</f>
        <v>1</v>
      </c>
      <c r="BB68" s="13">
        <f t="shared" si="10"/>
        <v>4858</v>
      </c>
      <c r="BC68" s="13">
        <v>20</v>
      </c>
    </row>
    <row r="69" spans="1:55" x14ac:dyDescent="0.25">
      <c r="A69" s="7">
        <v>7</v>
      </c>
      <c r="B69" s="7" t="s">
        <v>238</v>
      </c>
      <c r="C69" s="7" t="s">
        <v>173</v>
      </c>
      <c r="D69" s="7" t="s">
        <v>489</v>
      </c>
      <c r="E69" s="17" t="s">
        <v>449</v>
      </c>
      <c r="F69" s="17" t="s">
        <v>475</v>
      </c>
      <c r="G69" s="13">
        <v>11632</v>
      </c>
      <c r="H69" s="13">
        <v>38</v>
      </c>
      <c r="I69" s="13">
        <v>0</v>
      </c>
      <c r="J69" s="13">
        <v>164</v>
      </c>
      <c r="K69" s="13">
        <v>4509</v>
      </c>
      <c r="L69" s="13">
        <v>6385</v>
      </c>
      <c r="M69" s="13">
        <v>0</v>
      </c>
      <c r="N69" s="13">
        <v>12329</v>
      </c>
      <c r="O69" s="19">
        <v>1.5699999999999999E-2</v>
      </c>
      <c r="P69" s="13">
        <v>0</v>
      </c>
      <c r="Q69" s="21">
        <f>835/8349</f>
        <v>0.10001197748233322</v>
      </c>
      <c r="R69" s="13">
        <v>1271</v>
      </c>
      <c r="S69" s="13">
        <v>0</v>
      </c>
      <c r="T69" s="13">
        <v>62754</v>
      </c>
      <c r="U69" s="13">
        <v>6354</v>
      </c>
      <c r="V69" s="13">
        <v>0</v>
      </c>
      <c r="W69" s="13">
        <f>990+1419</f>
        <v>2409</v>
      </c>
      <c r="X69" s="13">
        <v>0</v>
      </c>
      <c r="Y69" s="13">
        <v>0</v>
      </c>
      <c r="Z69" s="13">
        <v>0</v>
      </c>
      <c r="AA69" s="13">
        <f>74+610+0</f>
        <v>684</v>
      </c>
      <c r="AB69" s="13">
        <v>0</v>
      </c>
      <c r="AC69" s="13">
        <v>0</v>
      </c>
      <c r="AD69" s="13">
        <v>0</v>
      </c>
      <c r="AE69" s="13">
        <v>0</v>
      </c>
      <c r="AF69" s="13">
        <v>72867</v>
      </c>
      <c r="AG69" s="19">
        <f t="shared" si="8"/>
        <v>0</v>
      </c>
      <c r="AH69" s="13">
        <v>374</v>
      </c>
      <c r="AI69" s="13">
        <v>0</v>
      </c>
      <c r="AJ69" s="13">
        <v>0</v>
      </c>
      <c r="AK69" s="13">
        <v>52</v>
      </c>
      <c r="AL69" s="13">
        <v>0</v>
      </c>
      <c r="AM69" s="13">
        <v>0</v>
      </c>
      <c r="AN69" s="13">
        <v>277255</v>
      </c>
      <c r="AO69" s="13">
        <v>12</v>
      </c>
      <c r="AP69" s="13">
        <v>0</v>
      </c>
      <c r="AQ69" s="13">
        <v>-1</v>
      </c>
      <c r="AR69" s="13">
        <v>-3</v>
      </c>
      <c r="AS69" s="13">
        <v>-6</v>
      </c>
      <c r="AT69" s="13">
        <v>0</v>
      </c>
      <c r="AU69" s="13">
        <f t="shared" si="9"/>
        <v>2</v>
      </c>
      <c r="AV69" s="13">
        <v>43</v>
      </c>
      <c r="AW69" s="13">
        <v>0</v>
      </c>
      <c r="AX69" s="13">
        <v>0</v>
      </c>
      <c r="AY69" s="13">
        <v>-1</v>
      </c>
      <c r="AZ69" s="13">
        <v>-30</v>
      </c>
      <c r="BA69" s="13">
        <v>0</v>
      </c>
      <c r="BB69" s="13">
        <f t="shared" si="10"/>
        <v>12</v>
      </c>
      <c r="BC69" s="13">
        <v>2</v>
      </c>
    </row>
    <row r="70" spans="1:55" x14ac:dyDescent="0.25">
      <c r="A70" s="7">
        <v>7</v>
      </c>
      <c r="B70" s="7" t="s">
        <v>333</v>
      </c>
      <c r="C70" s="7" t="s">
        <v>291</v>
      </c>
      <c r="D70" s="7" t="s">
        <v>489</v>
      </c>
      <c r="E70" s="17" t="s">
        <v>512</v>
      </c>
      <c r="F70" s="17" t="s">
        <v>475</v>
      </c>
      <c r="G70" s="13">
        <v>754902</v>
      </c>
      <c r="H70" s="13">
        <v>768</v>
      </c>
      <c r="I70" s="13">
        <v>6276</v>
      </c>
      <c r="J70" s="13">
        <v>357084</v>
      </c>
      <c r="K70" s="13">
        <v>120835</v>
      </c>
      <c r="L70" s="13">
        <v>156491</v>
      </c>
      <c r="M70" s="13">
        <v>31619</v>
      </c>
      <c r="N70" s="13">
        <v>741493</v>
      </c>
      <c r="O70" s="19">
        <v>0.03</v>
      </c>
      <c r="P70" s="13">
        <v>0</v>
      </c>
      <c r="Q70" s="21">
        <f>74004/740033</f>
        <v>0.10000094590376375</v>
      </c>
      <c r="R70" s="13">
        <v>74004</v>
      </c>
      <c r="S70" s="13">
        <v>0</v>
      </c>
      <c r="T70" s="13">
        <v>19000</v>
      </c>
      <c r="U70" s="13">
        <v>0</v>
      </c>
      <c r="V70" s="13">
        <v>0</v>
      </c>
      <c r="W70" s="13">
        <v>3479</v>
      </c>
      <c r="X70" s="13">
        <v>0</v>
      </c>
      <c r="Y70" s="13">
        <v>4931</v>
      </c>
      <c r="Z70" s="13">
        <v>0</v>
      </c>
      <c r="AA70" s="13">
        <f>1301+2996+543</f>
        <v>4840</v>
      </c>
      <c r="AB70" s="13">
        <v>0</v>
      </c>
      <c r="AC70" s="13">
        <v>5274</v>
      </c>
      <c r="AD70" s="13">
        <v>0</v>
      </c>
      <c r="AE70" s="13">
        <v>31066</v>
      </c>
      <c r="AF70" s="13">
        <v>41339</v>
      </c>
      <c r="AG70" s="19">
        <f t="shared" si="8"/>
        <v>0.75149374682503201</v>
      </c>
      <c r="AH70" s="13">
        <v>0</v>
      </c>
      <c r="AI70" s="13">
        <v>34907</v>
      </c>
      <c r="AJ70" s="13">
        <v>0</v>
      </c>
      <c r="AK70" s="13">
        <v>0</v>
      </c>
      <c r="AL70" s="13">
        <v>0</v>
      </c>
      <c r="AM70" s="13">
        <v>0</v>
      </c>
      <c r="AN70" s="13">
        <v>0</v>
      </c>
      <c r="AO70" s="13">
        <v>98</v>
      </c>
      <c r="AP70" s="13">
        <v>98</v>
      </c>
      <c r="AQ70" s="13">
        <v>-7</v>
      </c>
      <c r="AR70" s="13">
        <v>-28</v>
      </c>
      <c r="AS70" s="13">
        <v>-16</v>
      </c>
      <c r="AT70" s="13">
        <v>2</v>
      </c>
      <c r="AU70" s="13">
        <f t="shared" si="9"/>
        <v>147</v>
      </c>
      <c r="AV70" s="13">
        <v>98</v>
      </c>
      <c r="AW70" s="13">
        <v>40</v>
      </c>
      <c r="AX70" s="13">
        <v>-3</v>
      </c>
      <c r="AY70" s="13">
        <v>-15</v>
      </c>
      <c r="AZ70" s="13">
        <v>-24</v>
      </c>
      <c r="BA70" s="13">
        <v>2</v>
      </c>
      <c r="BB70" s="13">
        <f t="shared" si="10"/>
        <v>98</v>
      </c>
      <c r="BC70" s="13">
        <v>0</v>
      </c>
    </row>
    <row r="71" spans="1:55" x14ac:dyDescent="0.25">
      <c r="A71" s="7">
        <v>7</v>
      </c>
      <c r="B71" s="7" t="s">
        <v>350</v>
      </c>
      <c r="C71" s="7" t="s">
        <v>419</v>
      </c>
      <c r="D71" s="7" t="s">
        <v>489</v>
      </c>
      <c r="E71" s="17" t="s">
        <v>512</v>
      </c>
      <c r="F71" s="17" t="s">
        <v>475</v>
      </c>
      <c r="G71" s="13">
        <v>28828823</v>
      </c>
      <c r="H71" s="13">
        <v>100763</v>
      </c>
      <c r="I71" s="13">
        <v>1714614</v>
      </c>
      <c r="J71" s="13">
        <v>14534630</v>
      </c>
      <c r="K71" s="13">
        <v>1708059</v>
      </c>
      <c r="L71" s="13">
        <v>6281889</v>
      </c>
      <c r="M71" s="13">
        <v>2658629</v>
      </c>
      <c r="N71" s="13">
        <v>26765567</v>
      </c>
      <c r="O71" s="19">
        <v>5.3999999999999999E-2</v>
      </c>
      <c r="P71" s="13">
        <v>303906</v>
      </c>
      <c r="Q71" s="21">
        <f>1462726/26342034</f>
        <v>5.5528210160232884E-2</v>
      </c>
      <c r="R71" s="13">
        <v>1462733</v>
      </c>
      <c r="S71" s="13">
        <v>0</v>
      </c>
      <c r="T71" s="13">
        <v>800062</v>
      </c>
      <c r="U71" s="13">
        <v>62764</v>
      </c>
      <c r="V71" s="13">
        <v>165073</v>
      </c>
      <c r="W71" s="13">
        <f>178043+675</f>
        <v>178718</v>
      </c>
      <c r="X71" s="13">
        <v>0</v>
      </c>
      <c r="Y71" s="13">
        <v>23914</v>
      </c>
      <c r="Z71" s="13">
        <v>35956</v>
      </c>
      <c r="AA71" s="13">
        <f>25326+108991+61445</f>
        <v>195762</v>
      </c>
      <c r="AB71" s="13">
        <v>11171</v>
      </c>
      <c r="AC71" s="13">
        <v>0</v>
      </c>
      <c r="AD71" s="13">
        <v>21157</v>
      </c>
      <c r="AE71" s="13">
        <v>0</v>
      </c>
      <c r="AF71" s="13">
        <v>1637878</v>
      </c>
      <c r="AG71" s="19">
        <f t="shared" si="8"/>
        <v>0</v>
      </c>
      <c r="AH71" s="13">
        <v>273978</v>
      </c>
      <c r="AI71" s="13">
        <v>124333</v>
      </c>
      <c r="AJ71" s="13">
        <v>0</v>
      </c>
      <c r="AK71" s="13">
        <v>197485</v>
      </c>
      <c r="AL71" s="13">
        <v>0</v>
      </c>
      <c r="AM71" s="13">
        <v>0</v>
      </c>
      <c r="AN71" s="13">
        <v>0</v>
      </c>
      <c r="AO71" s="13">
        <v>5678</v>
      </c>
      <c r="AP71" s="13">
        <v>2908</v>
      </c>
      <c r="AQ71" s="13">
        <v>-303</v>
      </c>
      <c r="AR71" s="13">
        <v>-941</v>
      </c>
      <c r="AS71" s="13">
        <v>-898</v>
      </c>
      <c r="AT71" s="13">
        <f>10-6</f>
        <v>4</v>
      </c>
      <c r="AU71" s="13">
        <f t="shared" si="9"/>
        <v>6448</v>
      </c>
      <c r="AV71" s="13">
        <v>5386</v>
      </c>
      <c r="AW71" s="13">
        <v>2136</v>
      </c>
      <c r="AX71" s="13">
        <v>-249</v>
      </c>
      <c r="AY71" s="13">
        <v>-847</v>
      </c>
      <c r="AZ71" s="13">
        <v>-758</v>
      </c>
      <c r="BA71" s="13">
        <f>1+12-3</f>
        <v>10</v>
      </c>
      <c r="BB71" s="13">
        <f t="shared" si="10"/>
        <v>5678</v>
      </c>
      <c r="BC71" s="13">
        <v>37</v>
      </c>
    </row>
    <row r="72" spans="1:55" x14ac:dyDescent="0.25">
      <c r="A72" s="7">
        <v>7</v>
      </c>
      <c r="B72" s="7" t="s">
        <v>341</v>
      </c>
      <c r="C72" s="7" t="s">
        <v>248</v>
      </c>
      <c r="D72" s="7" t="s">
        <v>489</v>
      </c>
      <c r="E72" s="17" t="s">
        <v>449</v>
      </c>
      <c r="F72" s="17" t="s">
        <v>475</v>
      </c>
      <c r="G72" s="13">
        <v>18217712</v>
      </c>
      <c r="H72" s="13">
        <v>56968</v>
      </c>
      <c r="I72" s="13">
        <v>528215</v>
      </c>
      <c r="J72" s="13">
        <v>8874281</v>
      </c>
      <c r="K72" s="13">
        <v>3331190</v>
      </c>
      <c r="L72" s="13">
        <v>1782072</v>
      </c>
      <c r="M72" s="13">
        <v>1719411</v>
      </c>
      <c r="N72" s="13">
        <v>17178149</v>
      </c>
      <c r="O72" s="19">
        <v>0.16400000000000001</v>
      </c>
      <c r="P72" s="13">
        <v>0</v>
      </c>
      <c r="Q72" s="21">
        <f>1460143/17178149</f>
        <v>8.5000019501519058E-2</v>
      </c>
      <c r="R72" s="13">
        <v>1462955</v>
      </c>
      <c r="S72" s="13">
        <v>0</v>
      </c>
      <c r="T72" s="13">
        <v>330914</v>
      </c>
      <c r="U72" s="13">
        <v>29539</v>
      </c>
      <c r="V72" s="13">
        <v>101464</v>
      </c>
      <c r="W72" s="13">
        <v>97430</v>
      </c>
      <c r="X72" s="13">
        <v>44994</v>
      </c>
      <c r="Y72" s="13">
        <v>203691</v>
      </c>
      <c r="Z72" s="13">
        <v>50671</v>
      </c>
      <c r="AA72" s="13">
        <f>15390+116972+48994</f>
        <v>181356</v>
      </c>
      <c r="AB72" s="13">
        <v>12496</v>
      </c>
      <c r="AC72" s="13">
        <v>638</v>
      </c>
      <c r="AD72" s="13">
        <v>159807</v>
      </c>
      <c r="AE72" s="13">
        <v>0</v>
      </c>
      <c r="AF72" s="13">
        <v>1370790</v>
      </c>
      <c r="AG72" s="19">
        <f t="shared" si="8"/>
        <v>0</v>
      </c>
      <c r="AH72" s="13">
        <v>155610</v>
      </c>
      <c r="AI72" s="13">
        <v>124333</v>
      </c>
      <c r="AJ72" s="13">
        <v>0</v>
      </c>
      <c r="AK72" s="13">
        <v>201123</v>
      </c>
      <c r="AL72" s="13">
        <v>0</v>
      </c>
      <c r="AM72" s="13">
        <v>0</v>
      </c>
      <c r="AN72" s="13">
        <v>0</v>
      </c>
      <c r="AO72" s="13">
        <v>4419</v>
      </c>
      <c r="AP72" s="13">
        <v>2945</v>
      </c>
      <c r="AQ72" s="13">
        <v>-302</v>
      </c>
      <c r="AR72" s="13">
        <v>-1624</v>
      </c>
      <c r="AS72" s="13">
        <v>-535</v>
      </c>
      <c r="AT72" s="13">
        <v>-2</v>
      </c>
      <c r="AU72" s="13">
        <f t="shared" si="9"/>
        <v>4901</v>
      </c>
      <c r="AV72" s="13">
        <v>4185</v>
      </c>
      <c r="AW72" s="13">
        <v>2371</v>
      </c>
      <c r="AX72" s="13">
        <v>-244</v>
      </c>
      <c r="AY72" s="13">
        <v>-1447</v>
      </c>
      <c r="AZ72" s="13">
        <v>-439</v>
      </c>
      <c r="BA72" s="13">
        <v>-7</v>
      </c>
      <c r="BB72" s="13">
        <f t="shared" si="10"/>
        <v>4419</v>
      </c>
      <c r="BC72" s="13">
        <v>104</v>
      </c>
    </row>
    <row r="73" spans="1:55" x14ac:dyDescent="0.25">
      <c r="A73" s="7">
        <v>8</v>
      </c>
      <c r="B73" s="7" t="s">
        <v>147</v>
      </c>
      <c r="C73" s="7" t="s">
        <v>281</v>
      </c>
      <c r="D73" s="7" t="s">
        <v>477</v>
      </c>
      <c r="E73" s="17" t="s">
        <v>512</v>
      </c>
      <c r="F73" s="17" t="s">
        <v>473</v>
      </c>
      <c r="G73" s="13">
        <v>53768464</v>
      </c>
      <c r="H73" s="13">
        <v>209648</v>
      </c>
      <c r="I73" s="13">
        <v>1638220</v>
      </c>
      <c r="J73" s="13">
        <f>16388050+P73</f>
        <v>35596816</v>
      </c>
      <c r="K73" s="13">
        <f>22499916-P73</f>
        <v>3291150</v>
      </c>
      <c r="L73" s="13">
        <v>6333357</v>
      </c>
      <c r="M73" s="13">
        <v>2250364</v>
      </c>
      <c r="N73" s="13">
        <v>51400691</v>
      </c>
      <c r="O73" s="19">
        <v>0.1</v>
      </c>
      <c r="P73" s="13">
        <v>19208766</v>
      </c>
      <c r="Q73" s="21">
        <f>1208432/32155247</f>
        <v>3.7581176098569542E-2</v>
      </c>
      <c r="R73" s="13">
        <v>1208610</v>
      </c>
      <c r="S73" s="13">
        <v>0</v>
      </c>
      <c r="T73" s="13">
        <v>605009</v>
      </c>
      <c r="U73" s="13">
        <v>47871</v>
      </c>
      <c r="V73" s="13">
        <v>211933</v>
      </c>
      <c r="W73" s="13">
        <v>144583</v>
      </c>
      <c r="X73" s="13">
        <v>0</v>
      </c>
      <c r="Y73" s="13">
        <v>17962</v>
      </c>
      <c r="Z73" s="13">
        <v>808</v>
      </c>
      <c r="AA73" s="13">
        <f>14967+83668+55143</f>
        <v>153778</v>
      </c>
      <c r="AB73" s="13">
        <v>8445</v>
      </c>
      <c r="AC73" s="13">
        <v>0</v>
      </c>
      <c r="AD73" s="13">
        <v>41574</v>
      </c>
      <c r="AE73" s="13">
        <v>53300</v>
      </c>
      <c r="AF73" s="13">
        <v>1324026</v>
      </c>
      <c r="AG73" s="19">
        <f t="shared" si="8"/>
        <v>4.0256007057263225E-2</v>
      </c>
      <c r="AH73" s="13">
        <v>212109</v>
      </c>
      <c r="AI73" s="13">
        <v>124333</v>
      </c>
      <c r="AJ73" s="13">
        <v>0</v>
      </c>
      <c r="AK73" s="13">
        <v>177127</v>
      </c>
      <c r="AL73" s="13">
        <v>0</v>
      </c>
      <c r="AM73" s="13">
        <v>0</v>
      </c>
      <c r="AN73" s="13">
        <v>0</v>
      </c>
      <c r="AO73" s="13">
        <v>11273</v>
      </c>
      <c r="AP73" s="13">
        <v>6477</v>
      </c>
      <c r="AQ73" s="13">
        <v>-374</v>
      </c>
      <c r="AR73" s="13">
        <v>-4263</v>
      </c>
      <c r="AS73" s="13">
        <v>-1265</v>
      </c>
      <c r="AT73" s="13">
        <v>-1</v>
      </c>
      <c r="AU73" s="13">
        <f t="shared" si="9"/>
        <v>11847</v>
      </c>
      <c r="AV73" s="13">
        <v>10548</v>
      </c>
      <c r="AW73" s="13">
        <v>5600</v>
      </c>
      <c r="AX73" s="13">
        <v>-308</v>
      </c>
      <c r="AY73" s="13">
        <v>-3596</v>
      </c>
      <c r="AZ73" s="13">
        <v>-969</v>
      </c>
      <c r="BA73" s="13">
        <v>-2</v>
      </c>
      <c r="BB73" s="13">
        <f t="shared" si="10"/>
        <v>11273</v>
      </c>
      <c r="BC73" s="13">
        <v>244</v>
      </c>
    </row>
    <row r="74" spans="1:55" x14ac:dyDescent="0.25">
      <c r="A74" s="7">
        <v>8</v>
      </c>
      <c r="B74" s="7" t="s">
        <v>191</v>
      </c>
      <c r="C74" s="7" t="s">
        <v>224</v>
      </c>
      <c r="D74" s="7" t="s">
        <v>477</v>
      </c>
      <c r="E74" s="17" t="s">
        <v>512</v>
      </c>
      <c r="F74" s="17" t="s">
        <v>473</v>
      </c>
      <c r="G74" s="13">
        <v>20187887</v>
      </c>
      <c r="H74" s="13">
        <v>74519</v>
      </c>
      <c r="I74" s="13">
        <v>463244</v>
      </c>
      <c r="J74" s="13">
        <v>7857130</v>
      </c>
      <c r="K74" s="13">
        <v>5895119</v>
      </c>
      <c r="L74" s="13">
        <v>2155219</v>
      </c>
      <c r="M74" s="13">
        <v>1089824</v>
      </c>
      <c r="N74" s="13">
        <v>19065594</v>
      </c>
      <c r="O74" s="19">
        <v>0.11</v>
      </c>
      <c r="P74" s="13">
        <f>5268517+31333+9783</f>
        <v>5309633</v>
      </c>
      <c r="Q74" s="21">
        <f>935405/13755961</f>
        <v>6.799997470187652E-2</v>
      </c>
      <c r="R74" s="13">
        <v>935924</v>
      </c>
      <c r="S74" s="13">
        <v>0</v>
      </c>
      <c r="T74" s="13">
        <v>447580</v>
      </c>
      <c r="U74" s="13">
        <v>37107</v>
      </c>
      <c r="V74" s="13">
        <v>106681</v>
      </c>
      <c r="W74" s="13">
        <f>60000+13037</f>
        <v>73037</v>
      </c>
      <c r="X74" s="13">
        <v>0</v>
      </c>
      <c r="Y74" s="13">
        <v>16716</v>
      </c>
      <c r="Z74" s="13">
        <v>0</v>
      </c>
      <c r="AA74" s="13">
        <f>16264+40570+29541</f>
        <v>86375</v>
      </c>
      <c r="AB74" s="13">
        <v>6968</v>
      </c>
      <c r="AC74" s="13">
        <v>23264</v>
      </c>
      <c r="AD74" s="13">
        <v>20875</v>
      </c>
      <c r="AE74" s="13">
        <v>11620</v>
      </c>
      <c r="AF74" s="13">
        <v>878909</v>
      </c>
      <c r="AG74" s="19">
        <f t="shared" si="8"/>
        <v>1.322093641093674E-2</v>
      </c>
      <c r="AH74" s="13">
        <v>121912</v>
      </c>
      <c r="AI74" s="13">
        <v>124333</v>
      </c>
      <c r="AJ74" s="13">
        <v>0</v>
      </c>
      <c r="AK74" s="13">
        <v>141119</v>
      </c>
      <c r="AL74" s="13">
        <v>0</v>
      </c>
      <c r="AM74" s="13">
        <v>0</v>
      </c>
      <c r="AN74" s="13">
        <v>0</v>
      </c>
      <c r="AO74" s="13">
        <v>4889</v>
      </c>
      <c r="AP74" s="13">
        <v>3379</v>
      </c>
      <c r="AQ74" s="13">
        <v>-144</v>
      </c>
      <c r="AR74" s="13">
        <v>-1391</v>
      </c>
      <c r="AS74" s="13">
        <v>-832</v>
      </c>
      <c r="AT74" s="13">
        <f>1+4-1</f>
        <v>4</v>
      </c>
      <c r="AU74" s="13">
        <f t="shared" si="9"/>
        <v>5905</v>
      </c>
      <c r="AV74" s="13">
        <v>4968</v>
      </c>
      <c r="AW74" s="13">
        <v>2248</v>
      </c>
      <c r="AX74" s="13">
        <v>-160</v>
      </c>
      <c r="AY74" s="13">
        <v>-1488</v>
      </c>
      <c r="AZ74" s="13">
        <v>-681</v>
      </c>
      <c r="BA74" s="13">
        <f>3-1</f>
        <v>2</v>
      </c>
      <c r="BB74" s="13">
        <f t="shared" si="10"/>
        <v>4889</v>
      </c>
      <c r="BC74" s="13">
        <v>35</v>
      </c>
    </row>
    <row r="75" spans="1:55" x14ac:dyDescent="0.25">
      <c r="A75" s="7">
        <v>8</v>
      </c>
      <c r="B75" s="7" t="s">
        <v>203</v>
      </c>
      <c r="C75" s="7" t="s">
        <v>310</v>
      </c>
      <c r="D75" s="7" t="s">
        <v>477</v>
      </c>
      <c r="E75" s="17" t="s">
        <v>290</v>
      </c>
      <c r="F75" s="17" t="s">
        <v>473</v>
      </c>
      <c r="G75" s="13">
        <v>35691897</v>
      </c>
      <c r="H75" s="13">
        <v>103765</v>
      </c>
      <c r="I75" s="13">
        <v>1295254</v>
      </c>
      <c r="J75" s="13">
        <v>21393474</v>
      </c>
      <c r="K75" s="13">
        <v>2176886</v>
      </c>
      <c r="L75" s="13">
        <v>7330630</v>
      </c>
      <c r="M75" s="13">
        <v>1869987</v>
      </c>
      <c r="N75" s="13">
        <v>34212407</v>
      </c>
      <c r="O75" s="19">
        <v>0.02</v>
      </c>
      <c r="P75" s="13">
        <f>9746547+179313</f>
        <v>9925860</v>
      </c>
      <c r="Q75" s="21">
        <f>1080115/24284076</f>
        <v>4.4478323984820343E-2</v>
      </c>
      <c r="R75" s="13">
        <v>1075596</v>
      </c>
      <c r="S75" s="13">
        <v>0</v>
      </c>
      <c r="T75" s="13">
        <v>585721</v>
      </c>
      <c r="U75" s="13">
        <v>44043</v>
      </c>
      <c r="V75" s="13">
        <v>137582</v>
      </c>
      <c r="W75" s="13">
        <v>90952</v>
      </c>
      <c r="X75" s="13">
        <v>0</v>
      </c>
      <c r="Y75" s="13">
        <v>17176</v>
      </c>
      <c r="Z75" s="13">
        <v>5971</v>
      </c>
      <c r="AA75" s="13">
        <f>15243+42954+35275</f>
        <v>93472</v>
      </c>
      <c r="AB75" s="13">
        <v>8657</v>
      </c>
      <c r="AC75" s="13">
        <v>5997</v>
      </c>
      <c r="AD75" s="13">
        <v>22134</v>
      </c>
      <c r="AE75" s="13">
        <v>12882</v>
      </c>
      <c r="AF75" s="13">
        <v>1078012</v>
      </c>
      <c r="AG75" s="19">
        <f t="shared" si="8"/>
        <v>1.1949774214016171E-2</v>
      </c>
      <c r="AH75" s="13">
        <v>171700</v>
      </c>
      <c r="AI75" s="13">
        <v>124333</v>
      </c>
      <c r="AJ75" s="13">
        <v>0</v>
      </c>
      <c r="AK75" s="13">
        <v>150700</v>
      </c>
      <c r="AL75" s="13">
        <v>0</v>
      </c>
      <c r="AM75" s="13">
        <v>0</v>
      </c>
      <c r="AN75" s="13">
        <v>0</v>
      </c>
      <c r="AO75" s="13">
        <v>6415</v>
      </c>
      <c r="AP75" s="13">
        <v>2859</v>
      </c>
      <c r="AQ75" s="13">
        <v>-401</v>
      </c>
      <c r="AR75" s="13">
        <v>-1402</v>
      </c>
      <c r="AS75" s="13">
        <v>-1173</v>
      </c>
      <c r="AT75" s="13">
        <v>0</v>
      </c>
      <c r="AU75" s="13">
        <f t="shared" si="9"/>
        <v>6298</v>
      </c>
      <c r="AV75" s="13">
        <v>6637</v>
      </c>
      <c r="AW75" s="13">
        <v>2471</v>
      </c>
      <c r="AX75" s="13">
        <v>-391</v>
      </c>
      <c r="AY75" s="13">
        <v>-1397</v>
      </c>
      <c r="AZ75" s="13">
        <v>-1332</v>
      </c>
      <c r="BA75" s="13">
        <v>427</v>
      </c>
      <c r="BB75" s="13">
        <f t="shared" si="10"/>
        <v>6415</v>
      </c>
      <c r="BC75" s="13">
        <v>33</v>
      </c>
    </row>
    <row r="76" spans="1:55" x14ac:dyDescent="0.25">
      <c r="A76" s="7">
        <v>8</v>
      </c>
      <c r="B76" s="7" t="s">
        <v>234</v>
      </c>
      <c r="C76" s="7" t="s">
        <v>239</v>
      </c>
      <c r="D76" s="7" t="s">
        <v>477</v>
      </c>
      <c r="E76" s="17" t="s">
        <v>143</v>
      </c>
      <c r="F76" s="17" t="s">
        <v>473</v>
      </c>
      <c r="G76" s="13">
        <v>28804413</v>
      </c>
      <c r="H76" s="13">
        <v>57988</v>
      </c>
      <c r="I76" s="13">
        <v>647642</v>
      </c>
      <c r="J76" s="13">
        <v>16835722</v>
      </c>
      <c r="K76" s="13">
        <v>698102</v>
      </c>
      <c r="L76" s="13">
        <v>7363670</v>
      </c>
      <c r="M76" s="13">
        <v>1676424</v>
      </c>
      <c r="N76" s="13">
        <v>27930059</v>
      </c>
      <c r="O76" s="19">
        <v>4.8500000000000001E-2</v>
      </c>
      <c r="P76" s="13">
        <v>6486822</v>
      </c>
      <c r="Q76" s="21">
        <f>984705/21443237</f>
        <v>4.5921471650945241E-2</v>
      </c>
      <c r="R76" s="13">
        <v>984810</v>
      </c>
      <c r="S76" s="13">
        <v>0</v>
      </c>
      <c r="T76" s="13">
        <v>326145</v>
      </c>
      <c r="U76" s="13">
        <v>25964</v>
      </c>
      <c r="V76" s="13">
        <v>52980</v>
      </c>
      <c r="W76" s="13">
        <v>65661</v>
      </c>
      <c r="X76" s="13">
        <v>0</v>
      </c>
      <c r="Y76" s="13">
        <v>247896</v>
      </c>
      <c r="Z76" s="13">
        <v>1935</v>
      </c>
      <c r="AA76" s="13">
        <f>20636+41894+25995</f>
        <v>88525</v>
      </c>
      <c r="AB76" s="13">
        <v>10923</v>
      </c>
      <c r="AC76" s="13">
        <v>0</v>
      </c>
      <c r="AD76" s="13">
        <v>11973</v>
      </c>
      <c r="AE76" s="13">
        <v>0</v>
      </c>
      <c r="AF76" s="13">
        <v>884700</v>
      </c>
      <c r="AG76" s="19">
        <f t="shared" ref="AG76:AG107" si="11">AE76/AF76</f>
        <v>0</v>
      </c>
      <c r="AH76" s="13">
        <v>109590</v>
      </c>
      <c r="AI76" s="13">
        <v>124333</v>
      </c>
      <c r="AJ76" s="13">
        <v>0</v>
      </c>
      <c r="AK76" s="13">
        <v>145646</v>
      </c>
      <c r="AL76" s="13">
        <v>0</v>
      </c>
      <c r="AM76" s="13">
        <v>0</v>
      </c>
      <c r="AN76" s="13">
        <v>0</v>
      </c>
      <c r="AO76" s="13">
        <v>5268</v>
      </c>
      <c r="AP76" s="13">
        <v>3024</v>
      </c>
      <c r="AQ76" s="13">
        <v>-225</v>
      </c>
      <c r="AR76" s="13">
        <v>-972</v>
      </c>
      <c r="AS76" s="13">
        <v>-813</v>
      </c>
      <c r="AT76" s="13">
        <v>-260</v>
      </c>
      <c r="AU76" s="13">
        <f t="shared" ref="AU76:AU107" si="12">SUM(AO76:AT76)</f>
        <v>6022</v>
      </c>
      <c r="AV76" s="13">
        <v>5178</v>
      </c>
      <c r="AW76" s="13">
        <v>2146</v>
      </c>
      <c r="AX76" s="13">
        <v>-270</v>
      </c>
      <c r="AY76" s="13">
        <v>-1059</v>
      </c>
      <c r="AZ76" s="13">
        <v>-1150</v>
      </c>
      <c r="BA76" s="13">
        <f>755-332</f>
        <v>423</v>
      </c>
      <c r="BB76" s="13">
        <f t="shared" si="10"/>
        <v>5268</v>
      </c>
      <c r="BC76" s="13">
        <v>58</v>
      </c>
    </row>
    <row r="77" spans="1:55" x14ac:dyDescent="0.25">
      <c r="A77" s="7">
        <v>8</v>
      </c>
      <c r="B77" s="7" t="s">
        <v>252</v>
      </c>
      <c r="C77" s="7" t="s">
        <v>262</v>
      </c>
      <c r="D77" s="7" t="s">
        <v>242</v>
      </c>
      <c r="E77" s="17" t="s">
        <v>512</v>
      </c>
      <c r="F77" s="17" t="s">
        <v>233</v>
      </c>
      <c r="G77" s="13">
        <v>14509681</v>
      </c>
      <c r="H77" s="13">
        <v>71157</v>
      </c>
      <c r="I77" s="13">
        <v>216774</v>
      </c>
      <c r="J77" s="13">
        <v>6333658</v>
      </c>
      <c r="K77" s="13">
        <v>706442</v>
      </c>
      <c r="L77" s="13">
        <v>4772192</v>
      </c>
      <c r="M77" s="13">
        <v>1529779</v>
      </c>
      <c r="N77" s="13">
        <v>13953007</v>
      </c>
      <c r="O77" s="19">
        <v>0.14399999999999999</v>
      </c>
      <c r="P77" s="13">
        <v>0</v>
      </c>
      <c r="Q77" s="21">
        <f>453473/13953007</f>
        <v>3.2500019529840413E-2</v>
      </c>
      <c r="R77" s="13">
        <v>453727</v>
      </c>
      <c r="S77" s="13">
        <v>0</v>
      </c>
      <c r="T77" s="13">
        <v>200850</v>
      </c>
      <c r="U77" s="13">
        <v>14686</v>
      </c>
      <c r="V77" s="13">
        <v>51701</v>
      </c>
      <c r="W77" s="13">
        <v>39600</v>
      </c>
      <c r="X77" s="13">
        <v>9800</v>
      </c>
      <c r="Y77" s="13">
        <v>19297</v>
      </c>
      <c r="Z77" s="13">
        <v>0</v>
      </c>
      <c r="AA77" s="13">
        <f>6890+15921+6190</f>
        <v>29001</v>
      </c>
      <c r="AB77" s="13">
        <v>2695</v>
      </c>
      <c r="AC77" s="13">
        <v>814</v>
      </c>
      <c r="AD77" s="13">
        <v>0</v>
      </c>
      <c r="AE77" s="13">
        <v>14161</v>
      </c>
      <c r="AF77" s="13">
        <v>405622</v>
      </c>
      <c r="AG77" s="19">
        <f t="shared" si="11"/>
        <v>3.4911814447934286E-2</v>
      </c>
      <c r="AH77" s="13">
        <v>67464</v>
      </c>
      <c r="AI77" s="13">
        <v>124333</v>
      </c>
      <c r="AJ77" s="13">
        <v>0</v>
      </c>
      <c r="AK77" s="13">
        <v>63759</v>
      </c>
      <c r="AL77" s="13">
        <v>0</v>
      </c>
      <c r="AM77" s="13">
        <v>0</v>
      </c>
      <c r="AN77" s="13">
        <v>0</v>
      </c>
      <c r="AO77" s="13">
        <v>4065</v>
      </c>
      <c r="AP77" s="13">
        <v>2155</v>
      </c>
      <c r="AQ77" s="13">
        <v>-437</v>
      </c>
      <c r="AR77" s="13">
        <v>-760</v>
      </c>
      <c r="AS77" s="13">
        <v>-687</v>
      </c>
      <c r="AT77" s="13"/>
      <c r="AU77" s="13">
        <f t="shared" si="12"/>
        <v>4336</v>
      </c>
      <c r="AV77" s="13">
        <v>4091</v>
      </c>
      <c r="AW77" s="13">
        <v>1788</v>
      </c>
      <c r="AX77" s="13">
        <v>-366</v>
      </c>
      <c r="AY77" s="13">
        <v>-756</v>
      </c>
      <c r="AZ77" s="13">
        <v>-692</v>
      </c>
      <c r="BA77" s="13"/>
      <c r="BB77" s="13">
        <f t="shared" si="10"/>
        <v>4065</v>
      </c>
      <c r="BC77" s="13">
        <v>23</v>
      </c>
    </row>
    <row r="78" spans="1:55" x14ac:dyDescent="0.25">
      <c r="A78" s="7">
        <v>8</v>
      </c>
      <c r="B78" s="7" t="s">
        <v>432</v>
      </c>
      <c r="C78" s="7" t="s">
        <v>310</v>
      </c>
      <c r="D78" s="7" t="s">
        <v>477</v>
      </c>
      <c r="E78" s="17" t="s">
        <v>512</v>
      </c>
      <c r="F78" s="17" t="s">
        <v>473</v>
      </c>
      <c r="G78" s="13">
        <v>36091691</v>
      </c>
      <c r="H78" s="13">
        <v>101964</v>
      </c>
      <c r="I78" s="13">
        <v>1197909</v>
      </c>
      <c r="J78" s="13">
        <v>21840551</v>
      </c>
      <c r="K78" s="13">
        <v>2197580</v>
      </c>
      <c r="L78" s="13">
        <v>7295455</v>
      </c>
      <c r="M78" s="13">
        <v>1966545</v>
      </c>
      <c r="N78" s="13">
        <v>34792499</v>
      </c>
      <c r="O78" s="19">
        <v>0.02</v>
      </c>
      <c r="P78" s="13">
        <f>9615498+209640</f>
        <v>9825138</v>
      </c>
      <c r="Q78" s="21">
        <f>1110143/24964736</f>
        <v>4.4468445410358035E-2</v>
      </c>
      <c r="R78" s="13">
        <v>1108462</v>
      </c>
      <c r="S78" s="13">
        <v>0</v>
      </c>
      <c r="T78" s="13">
        <v>585721</v>
      </c>
      <c r="U78" s="13">
        <v>44043</v>
      </c>
      <c r="V78" s="13">
        <v>137582</v>
      </c>
      <c r="W78" s="13">
        <v>90952</v>
      </c>
      <c r="X78" s="13">
        <v>0</v>
      </c>
      <c r="Y78" s="13">
        <v>17176</v>
      </c>
      <c r="Z78" s="13">
        <v>5971</v>
      </c>
      <c r="AA78" s="13">
        <f>15243+42954+35275</f>
        <v>93472</v>
      </c>
      <c r="AB78" s="13">
        <v>8657</v>
      </c>
      <c r="AC78" s="13">
        <v>5997</v>
      </c>
      <c r="AD78" s="13">
        <v>22134</v>
      </c>
      <c r="AE78" s="13">
        <v>12882</v>
      </c>
      <c r="AF78" s="13">
        <v>1078012</v>
      </c>
      <c r="AG78" s="19">
        <f t="shared" si="11"/>
        <v>1.1949774214016171E-2</v>
      </c>
      <c r="AH78" s="13">
        <v>150735</v>
      </c>
      <c r="AI78" s="13">
        <v>124333</v>
      </c>
      <c r="AJ78" s="13">
        <v>0</v>
      </c>
      <c r="AK78" s="13">
        <v>160631</v>
      </c>
      <c r="AL78" s="13">
        <v>0</v>
      </c>
      <c r="AM78" s="13">
        <v>0</v>
      </c>
      <c r="AN78" s="13">
        <v>0</v>
      </c>
      <c r="AO78" s="13">
        <v>6391</v>
      </c>
      <c r="AP78" s="13">
        <v>2977</v>
      </c>
      <c r="AQ78" s="13">
        <v>-463</v>
      </c>
      <c r="AR78" s="13">
        <v>-1374</v>
      </c>
      <c r="AS78" s="13">
        <v>-1166</v>
      </c>
      <c r="AT78" s="13">
        <v>-2</v>
      </c>
      <c r="AU78" s="13">
        <f t="shared" si="12"/>
        <v>6363</v>
      </c>
      <c r="AV78" s="13">
        <v>6632</v>
      </c>
      <c r="AW78" s="13">
        <v>2474</v>
      </c>
      <c r="AX78" s="13">
        <v>-368</v>
      </c>
      <c r="AY78" s="13">
        <v>-1428</v>
      </c>
      <c r="AZ78" s="13">
        <v>-1232</v>
      </c>
      <c r="BA78" s="13">
        <f>374-1</f>
        <v>373</v>
      </c>
      <c r="BB78" s="13">
        <f t="shared" si="10"/>
        <v>6451</v>
      </c>
      <c r="BC78" s="13">
        <v>41</v>
      </c>
    </row>
    <row r="79" spans="1:55" x14ac:dyDescent="0.25">
      <c r="A79" s="7">
        <v>8</v>
      </c>
      <c r="B79" s="7" t="s">
        <v>461</v>
      </c>
      <c r="C79" s="7" t="s">
        <v>281</v>
      </c>
      <c r="D79" s="7" t="s">
        <v>477</v>
      </c>
      <c r="E79" s="17" t="s">
        <v>512</v>
      </c>
      <c r="F79" s="17" t="s">
        <v>473</v>
      </c>
      <c r="G79" s="13">
        <v>53838694</v>
      </c>
      <c r="H79" s="13">
        <v>210488</v>
      </c>
      <c r="I79" s="13">
        <v>1648461</v>
      </c>
      <c r="J79" s="13">
        <f>16060816+P79</f>
        <v>34991450</v>
      </c>
      <c r="K79" s="13">
        <f>22638257-P79</f>
        <v>3707623</v>
      </c>
      <c r="L79" s="13">
        <v>6632723</v>
      </c>
      <c r="M79" s="13">
        <v>2243990</v>
      </c>
      <c r="N79" s="13">
        <v>51393029</v>
      </c>
      <c r="O79" s="19">
        <v>0.1</v>
      </c>
      <c r="P79" s="13">
        <v>18930634</v>
      </c>
      <c r="Q79" s="21">
        <f>1210995/32414619</f>
        <v>3.7359532129623368E-2</v>
      </c>
      <c r="R79" s="13">
        <v>1210855</v>
      </c>
      <c r="S79" s="13">
        <v>0</v>
      </c>
      <c r="T79" s="13">
        <v>605009</v>
      </c>
      <c r="U79" s="13">
        <v>47871</v>
      </c>
      <c r="V79" s="13">
        <v>211933</v>
      </c>
      <c r="W79" s="13">
        <v>144583</v>
      </c>
      <c r="X79" s="13">
        <v>0</v>
      </c>
      <c r="Y79" s="13">
        <v>17962</v>
      </c>
      <c r="Z79" s="13">
        <v>808</v>
      </c>
      <c r="AA79" s="13">
        <f>14967+83668+55143</f>
        <v>153778</v>
      </c>
      <c r="AB79" s="13">
        <v>8445</v>
      </c>
      <c r="AC79" s="13">
        <v>0</v>
      </c>
      <c r="AD79" s="13">
        <v>41574</v>
      </c>
      <c r="AE79" s="13">
        <v>53300</v>
      </c>
      <c r="AF79" s="13">
        <v>1324026</v>
      </c>
      <c r="AG79" s="19">
        <f t="shared" si="11"/>
        <v>4.0256007057263225E-2</v>
      </c>
      <c r="AH79" s="13">
        <v>188413</v>
      </c>
      <c r="AI79" s="13">
        <v>124333</v>
      </c>
      <c r="AJ79" s="13">
        <v>0</v>
      </c>
      <c r="AK79" s="13">
        <v>155949</v>
      </c>
      <c r="AL79" s="13">
        <v>0</v>
      </c>
      <c r="AM79" s="13">
        <v>0</v>
      </c>
      <c r="AN79" s="13">
        <v>0</v>
      </c>
      <c r="AO79" s="13">
        <v>11342</v>
      </c>
      <c r="AP79" s="13">
        <v>6450</v>
      </c>
      <c r="AQ79" s="13">
        <v>-336</v>
      </c>
      <c r="AR79" s="13">
        <v>-4130</v>
      </c>
      <c r="AS79" s="13">
        <v>-1279</v>
      </c>
      <c r="AT79" s="13">
        <v>-2</v>
      </c>
      <c r="AU79" s="13">
        <f t="shared" si="12"/>
        <v>12045</v>
      </c>
      <c r="AV79" s="13">
        <v>10622</v>
      </c>
      <c r="AW79" s="13">
        <v>5622</v>
      </c>
      <c r="AX79" s="13">
        <v>-324</v>
      </c>
      <c r="AY79" s="13">
        <v>-3611</v>
      </c>
      <c r="AZ79" s="13">
        <v>-966</v>
      </c>
      <c r="BA79" s="13">
        <v>-1</v>
      </c>
      <c r="BB79" s="13">
        <f t="shared" si="10"/>
        <v>11342</v>
      </c>
      <c r="BC79" s="13">
        <v>312</v>
      </c>
    </row>
    <row r="80" spans="1:55" x14ac:dyDescent="0.25">
      <c r="A80" s="7">
        <v>8</v>
      </c>
      <c r="B80" s="7" t="s">
        <v>462</v>
      </c>
      <c r="C80" s="7" t="s">
        <v>85</v>
      </c>
      <c r="D80" s="7" t="s">
        <v>477</v>
      </c>
      <c r="E80" s="17" t="s">
        <v>143</v>
      </c>
      <c r="F80" s="17" t="s">
        <v>473</v>
      </c>
      <c r="G80" s="13">
        <v>47816309</v>
      </c>
      <c r="H80" s="13">
        <v>126190</v>
      </c>
      <c r="I80" s="13">
        <v>781961</v>
      </c>
      <c r="J80" s="13">
        <v>30757712</v>
      </c>
      <c r="K80" s="13">
        <v>1237813</v>
      </c>
      <c r="L80" s="13">
        <v>11652082</v>
      </c>
      <c r="M80" s="13">
        <v>2678385</v>
      </c>
      <c r="N80" s="13">
        <v>47964992</v>
      </c>
      <c r="O80" s="19">
        <v>7.51E-2</v>
      </c>
      <c r="P80" s="13">
        <v>10887422</v>
      </c>
      <c r="Q80" s="21">
        <f>1205021/37077570</f>
        <v>3.2499999325737904E-2</v>
      </c>
      <c r="R80" s="13">
        <v>1205021</v>
      </c>
      <c r="S80" s="13">
        <v>0</v>
      </c>
      <c r="T80" s="13">
        <v>520287</v>
      </c>
      <c r="U80" s="13">
        <v>43591</v>
      </c>
      <c r="V80" s="13">
        <v>68001</v>
      </c>
      <c r="W80" s="13">
        <v>72060</v>
      </c>
      <c r="X80" s="13">
        <v>11794</v>
      </c>
      <c r="Y80" s="13">
        <v>57791</v>
      </c>
      <c r="Z80" s="13">
        <v>26939</v>
      </c>
      <c r="AA80" s="13">
        <f>35785+61153+133438</f>
        <v>230376</v>
      </c>
      <c r="AB80" s="13">
        <v>8669</v>
      </c>
      <c r="AC80" s="13">
        <v>93173</v>
      </c>
      <c r="AD80" s="13">
        <v>3820</v>
      </c>
      <c r="AE80" s="13">
        <v>0</v>
      </c>
      <c r="AF80" s="13">
        <v>1220024</v>
      </c>
      <c r="AG80" s="19">
        <f t="shared" si="11"/>
        <v>0</v>
      </c>
      <c r="AH80" s="13">
        <v>110119</v>
      </c>
      <c r="AI80" s="13">
        <v>124333</v>
      </c>
      <c r="AJ80" s="13">
        <v>0</v>
      </c>
      <c r="AK80" s="13">
        <v>105864</v>
      </c>
      <c r="AL80" s="13">
        <v>0</v>
      </c>
      <c r="AM80" s="13">
        <v>0</v>
      </c>
      <c r="AN80" s="13">
        <v>0</v>
      </c>
      <c r="AO80" s="13">
        <v>8965</v>
      </c>
      <c r="AP80" s="13">
        <v>5727</v>
      </c>
      <c r="AQ80" s="13">
        <v>-792</v>
      </c>
      <c r="AR80" s="13">
        <v>-2247</v>
      </c>
      <c r="AS80" s="13">
        <v>-2655</v>
      </c>
      <c r="AT80" s="13">
        <v>-21</v>
      </c>
      <c r="AU80" s="13">
        <f t="shared" si="12"/>
        <v>8977</v>
      </c>
      <c r="AV80" s="13">
        <v>9166</v>
      </c>
      <c r="AW80" s="13">
        <v>4959</v>
      </c>
      <c r="AX80" s="13">
        <v>-687</v>
      </c>
      <c r="AY80" s="13">
        <v>-2101</v>
      </c>
      <c r="AZ80" s="13">
        <v>-2358</v>
      </c>
      <c r="BA80" s="13">
        <v>-14</v>
      </c>
      <c r="BB80" s="13">
        <f t="shared" si="10"/>
        <v>8965</v>
      </c>
      <c r="BC80" s="13">
        <v>338</v>
      </c>
    </row>
    <row r="81" spans="1:55" x14ac:dyDescent="0.25">
      <c r="A81" s="7">
        <v>8</v>
      </c>
      <c r="B81" s="7" t="s">
        <v>514</v>
      </c>
      <c r="C81" s="7" t="s">
        <v>256</v>
      </c>
      <c r="D81" s="7" t="s">
        <v>242</v>
      </c>
      <c r="E81" s="17" t="s">
        <v>143</v>
      </c>
      <c r="F81" s="17" t="s">
        <v>233</v>
      </c>
      <c r="G81" s="13">
        <v>9832135</v>
      </c>
      <c r="H81" s="13">
        <v>32200</v>
      </c>
      <c r="I81" s="13">
        <v>242005</v>
      </c>
      <c r="J81" s="13">
        <v>4277742</v>
      </c>
      <c r="K81" s="13">
        <v>631020</v>
      </c>
      <c r="L81" s="13">
        <v>3362354</v>
      </c>
      <c r="M81" s="13">
        <v>408224</v>
      </c>
      <c r="N81" s="13">
        <v>9347261</v>
      </c>
      <c r="O81" s="19">
        <v>7.0999999999999994E-2</v>
      </c>
      <c r="P81" s="13">
        <v>13389</v>
      </c>
      <c r="Q81" s="21">
        <f>656455/9332341</f>
        <v>7.0341943141597585E-2</v>
      </c>
      <c r="R81" s="13">
        <v>655774</v>
      </c>
      <c r="S81" s="13">
        <v>0</v>
      </c>
      <c r="T81" s="13">
        <v>309261</v>
      </c>
      <c r="U81" s="13">
        <v>27086</v>
      </c>
      <c r="V81" s="13">
        <v>73256</v>
      </c>
      <c r="W81" s="13">
        <v>55027</v>
      </c>
      <c r="X81" s="13">
        <v>2924</v>
      </c>
      <c r="Y81" s="13">
        <v>17962</v>
      </c>
      <c r="Z81" s="13">
        <v>0</v>
      </c>
      <c r="AA81" s="13">
        <f>9544+14000+21082</f>
        <v>44626</v>
      </c>
      <c r="AB81" s="13">
        <v>7676</v>
      </c>
      <c r="AC81" s="13">
        <v>1211</v>
      </c>
      <c r="AD81" s="13">
        <v>9883</v>
      </c>
      <c r="AE81" s="13">
        <v>0</v>
      </c>
      <c r="AF81" s="13">
        <v>590232</v>
      </c>
      <c r="AG81" s="19">
        <f t="shared" si="11"/>
        <v>0</v>
      </c>
      <c r="AH81" s="13">
        <v>79055</v>
      </c>
      <c r="AI81" s="13">
        <v>124333</v>
      </c>
      <c r="AJ81" s="13">
        <v>0</v>
      </c>
      <c r="AK81" s="13">
        <v>59354</v>
      </c>
      <c r="AL81" s="13">
        <v>0</v>
      </c>
      <c r="AM81" s="13">
        <v>0</v>
      </c>
      <c r="AN81" s="13">
        <v>0</v>
      </c>
      <c r="AO81" s="13">
        <v>3540</v>
      </c>
      <c r="AP81" s="13">
        <v>1187</v>
      </c>
      <c r="AQ81" s="13">
        <v>-206</v>
      </c>
      <c r="AR81" s="13">
        <v>-367</v>
      </c>
      <c r="AS81" s="13">
        <v>-685</v>
      </c>
      <c r="AT81" s="13"/>
      <c r="AU81" s="13">
        <f t="shared" si="12"/>
        <v>3469</v>
      </c>
      <c r="AV81" s="13">
        <v>3556</v>
      </c>
      <c r="AW81" s="13">
        <v>883</v>
      </c>
      <c r="AX81" s="13">
        <v>-207</v>
      </c>
      <c r="AY81" s="13">
        <v>-306</v>
      </c>
      <c r="AZ81" s="13">
        <v>-386</v>
      </c>
      <c r="BA81" s="13"/>
      <c r="BB81" s="13">
        <f t="shared" si="10"/>
        <v>3540</v>
      </c>
      <c r="BC81" s="13">
        <v>141</v>
      </c>
    </row>
    <row r="82" spans="1:55" x14ac:dyDescent="0.25">
      <c r="A82" s="7">
        <v>9</v>
      </c>
      <c r="B82" s="7" t="s">
        <v>46</v>
      </c>
      <c r="C82" s="7" t="s">
        <v>167</v>
      </c>
      <c r="D82" s="7" t="s">
        <v>285</v>
      </c>
      <c r="E82" s="17" t="s">
        <v>143</v>
      </c>
      <c r="F82" s="17" t="s">
        <v>287</v>
      </c>
      <c r="G82" s="13">
        <v>10015127</v>
      </c>
      <c r="H82" s="13">
        <v>58883</v>
      </c>
      <c r="I82" s="13">
        <v>515529</v>
      </c>
      <c r="J82" s="13">
        <v>5991367</v>
      </c>
      <c r="K82" s="13">
        <v>475352</v>
      </c>
      <c r="L82" s="13">
        <v>1936228</v>
      </c>
      <c r="M82" s="13">
        <v>323295</v>
      </c>
      <c r="N82" s="13">
        <v>9248931</v>
      </c>
      <c r="O82" s="19">
        <v>0.06</v>
      </c>
      <c r="P82" s="13">
        <v>0</v>
      </c>
      <c r="Q82" s="21">
        <f>508691/9248931</f>
        <v>5.4999977835276312E-2</v>
      </c>
      <c r="R82" s="13">
        <v>499192</v>
      </c>
      <c r="S82" s="13">
        <v>0</v>
      </c>
      <c r="T82" s="13">
        <v>185310</v>
      </c>
      <c r="U82" s="13">
        <v>14768</v>
      </c>
      <c r="V82" s="13">
        <v>51760</v>
      </c>
      <c r="W82" s="13">
        <f>23064+7640</f>
        <v>30704</v>
      </c>
      <c r="X82" s="13">
        <v>2062</v>
      </c>
      <c r="Y82" s="13">
        <v>14946</v>
      </c>
      <c r="Z82" s="13">
        <v>3392</v>
      </c>
      <c r="AA82" s="13">
        <f>6142+22268+19964</f>
        <v>48374</v>
      </c>
      <c r="AB82" s="13">
        <v>10188</v>
      </c>
      <c r="AC82" s="13">
        <v>0</v>
      </c>
      <c r="AD82" s="13">
        <v>12755</v>
      </c>
      <c r="AE82" s="13">
        <v>0</v>
      </c>
      <c r="AF82" s="13">
        <v>453996</v>
      </c>
      <c r="AG82" s="19">
        <f t="shared" si="11"/>
        <v>0</v>
      </c>
      <c r="AH82" s="13">
        <v>56286</v>
      </c>
      <c r="AI82" s="13">
        <v>124333</v>
      </c>
      <c r="AJ82" s="13">
        <v>0</v>
      </c>
      <c r="AK82" s="13">
        <v>37407</v>
      </c>
      <c r="AL82" s="13">
        <v>0</v>
      </c>
      <c r="AM82" s="13">
        <v>0</v>
      </c>
      <c r="AN82" s="13">
        <v>0</v>
      </c>
      <c r="AO82" s="13">
        <v>1433</v>
      </c>
      <c r="AP82" s="13">
        <v>504</v>
      </c>
      <c r="AQ82" s="13">
        <v>-104</v>
      </c>
      <c r="AR82" s="13">
        <v>-162</v>
      </c>
      <c r="AS82" s="13">
        <v>-288</v>
      </c>
      <c r="AT82" s="13">
        <f>8+4-1</f>
        <v>11</v>
      </c>
      <c r="AU82" s="13">
        <f t="shared" si="12"/>
        <v>1394</v>
      </c>
      <c r="AV82" s="13">
        <v>1536</v>
      </c>
      <c r="AW82" s="13">
        <v>460</v>
      </c>
      <c r="AX82" s="13">
        <v>-97</v>
      </c>
      <c r="AY82" s="13">
        <v>-188</v>
      </c>
      <c r="AZ82" s="13">
        <v>-284</v>
      </c>
      <c r="BA82" s="13">
        <f>7-1</f>
        <v>6</v>
      </c>
      <c r="BB82" s="13">
        <f t="shared" si="10"/>
        <v>1433</v>
      </c>
      <c r="BC82" s="13">
        <v>5</v>
      </c>
    </row>
    <row r="83" spans="1:55" x14ac:dyDescent="0.25">
      <c r="A83" s="7">
        <v>9</v>
      </c>
      <c r="B83" s="7" t="s">
        <v>53</v>
      </c>
      <c r="C83" s="7" t="s">
        <v>247</v>
      </c>
      <c r="D83" s="7" t="s">
        <v>285</v>
      </c>
      <c r="E83" s="17" t="s">
        <v>512</v>
      </c>
      <c r="F83" s="17" t="s">
        <v>287</v>
      </c>
      <c r="G83" s="13">
        <v>3543572</v>
      </c>
      <c r="H83" s="13">
        <v>5241</v>
      </c>
      <c r="I83" s="13">
        <v>73110</v>
      </c>
      <c r="J83" s="13">
        <v>2042417</v>
      </c>
      <c r="K83" s="13">
        <v>159090</v>
      </c>
      <c r="L83" s="13">
        <v>746134</v>
      </c>
      <c r="M83" s="13">
        <v>208055</v>
      </c>
      <c r="N83" s="13">
        <v>3397328</v>
      </c>
      <c r="O83" s="19">
        <v>0.12490999999999999</v>
      </c>
      <c r="P83" s="13">
        <v>0</v>
      </c>
      <c r="Q83" s="21">
        <f>228521/3397328</f>
        <v>6.7264921138023764E-2</v>
      </c>
      <c r="R83" s="13">
        <v>228529</v>
      </c>
      <c r="S83" s="13">
        <v>0</v>
      </c>
      <c r="T83" s="13">
        <v>48404</v>
      </c>
      <c r="U83" s="13">
        <v>3835</v>
      </c>
      <c r="V83" s="13">
        <v>4792</v>
      </c>
      <c r="W83" s="13">
        <v>13260</v>
      </c>
      <c r="X83" s="13">
        <v>6160</v>
      </c>
      <c r="Y83" s="13">
        <v>3317</v>
      </c>
      <c r="Z83" s="13">
        <v>0</v>
      </c>
      <c r="AA83" s="13">
        <f>1161+6166+3474</f>
        <v>10801</v>
      </c>
      <c r="AB83" s="13">
        <v>1289</v>
      </c>
      <c r="AC83" s="13">
        <v>635</v>
      </c>
      <c r="AD83" s="13">
        <v>5248</v>
      </c>
      <c r="AE83" s="13">
        <v>0</v>
      </c>
      <c r="AF83" s="13">
        <v>117782</v>
      </c>
      <c r="AG83" s="19">
        <f t="shared" si="11"/>
        <v>0</v>
      </c>
      <c r="AH83" s="13">
        <v>17319</v>
      </c>
      <c r="AI83" s="13">
        <v>124333</v>
      </c>
      <c r="AJ83" s="13">
        <v>0</v>
      </c>
      <c r="AK83" s="13">
        <v>11648</v>
      </c>
      <c r="AL83" s="13">
        <v>0</v>
      </c>
      <c r="AM83" s="13">
        <v>0</v>
      </c>
      <c r="AN83" s="13">
        <v>0</v>
      </c>
      <c r="AO83" s="13">
        <v>468</v>
      </c>
      <c r="AP83" s="13">
        <v>269</v>
      </c>
      <c r="AQ83" s="13">
        <v>-28</v>
      </c>
      <c r="AR83" s="13">
        <v>-51</v>
      </c>
      <c r="AS83" s="13">
        <v>-96</v>
      </c>
      <c r="AT83" s="13"/>
      <c r="AU83" s="13">
        <f t="shared" si="12"/>
        <v>562</v>
      </c>
      <c r="AV83" s="13">
        <v>472</v>
      </c>
      <c r="AW83" s="13">
        <v>189</v>
      </c>
      <c r="AX83" s="13">
        <v>-21</v>
      </c>
      <c r="AY83" s="13">
        <v>-52</v>
      </c>
      <c r="AZ83" s="13">
        <v>-123</v>
      </c>
      <c r="BA83" s="13">
        <f>1+2</f>
        <v>3</v>
      </c>
      <c r="BB83" s="13">
        <f t="shared" ref="BB83:BB114" si="13">SUM(AV83:BA83)</f>
        <v>468</v>
      </c>
      <c r="BC83" s="13">
        <v>9</v>
      </c>
    </row>
    <row r="84" spans="1:55" x14ac:dyDescent="0.25">
      <c r="A84" s="7">
        <v>9</v>
      </c>
      <c r="B84" s="7" t="s">
        <v>71</v>
      </c>
      <c r="C84" s="7" t="s">
        <v>91</v>
      </c>
      <c r="D84" s="7" t="s">
        <v>345</v>
      </c>
      <c r="E84" s="17" t="s">
        <v>449</v>
      </c>
      <c r="F84" s="17" t="s">
        <v>346</v>
      </c>
      <c r="G84" s="13">
        <v>11763153</v>
      </c>
      <c r="H84" s="13">
        <v>16140</v>
      </c>
      <c r="I84" s="13">
        <v>330631</v>
      </c>
      <c r="J84" s="13">
        <v>4968403</v>
      </c>
      <c r="K84" s="13">
        <v>778211</v>
      </c>
      <c r="L84" s="13">
        <v>4544438</v>
      </c>
      <c r="M84" s="13">
        <v>519507</v>
      </c>
      <c r="N84" s="13">
        <v>11435534</v>
      </c>
      <c r="O84" s="19">
        <v>3.2800000000000003E-2</v>
      </c>
      <c r="P84" s="13">
        <v>0</v>
      </c>
      <c r="Q84" s="21">
        <f>617094/11427659</f>
        <v>5.4000036227892345E-2</v>
      </c>
      <c r="R84" s="13">
        <v>617100</v>
      </c>
      <c r="S84" s="13">
        <v>0</v>
      </c>
      <c r="T84" s="13">
        <v>266494</v>
      </c>
      <c r="U84" s="13">
        <v>21782</v>
      </c>
      <c r="V84" s="13">
        <v>60680</v>
      </c>
      <c r="W84" s="13">
        <f>36682+6053</f>
        <v>42735</v>
      </c>
      <c r="X84" s="13">
        <v>1421</v>
      </c>
      <c r="Y84" s="13">
        <v>18219</v>
      </c>
      <c r="Z84" s="13">
        <v>0</v>
      </c>
      <c r="AA84" s="13">
        <f>9355+25009+17528</f>
        <v>51892</v>
      </c>
      <c r="AB84" s="13">
        <v>9660</v>
      </c>
      <c r="AC84" s="13">
        <v>3294</v>
      </c>
      <c r="AD84" s="13">
        <v>6659</v>
      </c>
      <c r="AE84" s="13">
        <v>0</v>
      </c>
      <c r="AF84" s="13">
        <v>524503</v>
      </c>
      <c r="AG84" s="19">
        <f t="shared" si="11"/>
        <v>0</v>
      </c>
      <c r="AH84" s="13">
        <v>68166</v>
      </c>
      <c r="AI84" s="13">
        <v>124333</v>
      </c>
      <c r="AJ84" s="13">
        <v>0</v>
      </c>
      <c r="AK84" s="13">
        <v>55449</v>
      </c>
      <c r="AL84" s="13">
        <v>0</v>
      </c>
      <c r="AM84" s="13">
        <v>0</v>
      </c>
      <c r="AN84" s="13">
        <v>0</v>
      </c>
      <c r="AO84" s="13">
        <v>2980</v>
      </c>
      <c r="AP84" s="13">
        <v>1262</v>
      </c>
      <c r="AQ84" s="13">
        <v>-135</v>
      </c>
      <c r="AR84" s="13">
        <v>-654</v>
      </c>
      <c r="AS84" s="13">
        <v>-737</v>
      </c>
      <c r="AT84" s="13"/>
      <c r="AU84" s="13">
        <f t="shared" si="12"/>
        <v>2716</v>
      </c>
      <c r="AV84" s="13">
        <v>3162</v>
      </c>
      <c r="AW84" s="13">
        <v>1148</v>
      </c>
      <c r="AX84" s="13">
        <v>-152</v>
      </c>
      <c r="AY84" s="13">
        <v>-552</v>
      </c>
      <c r="AZ84" s="13">
        <v>-626</v>
      </c>
      <c r="BA84" s="13"/>
      <c r="BB84" s="13">
        <f t="shared" si="13"/>
        <v>2980</v>
      </c>
      <c r="BC84" s="13">
        <v>10</v>
      </c>
    </row>
    <row r="85" spans="1:55" x14ac:dyDescent="0.25">
      <c r="A85" s="7">
        <v>9</v>
      </c>
      <c r="B85" s="7" t="s">
        <v>90</v>
      </c>
      <c r="C85" s="7" t="s">
        <v>229</v>
      </c>
      <c r="D85" s="7" t="s">
        <v>285</v>
      </c>
      <c r="E85" s="17" t="s">
        <v>512</v>
      </c>
      <c r="F85" s="17" t="s">
        <v>287</v>
      </c>
      <c r="G85" s="13">
        <v>7411418</v>
      </c>
      <c r="H85" s="13">
        <v>44489</v>
      </c>
      <c r="I85" s="13">
        <v>288041</v>
      </c>
      <c r="J85" s="13">
        <v>3910346</v>
      </c>
      <c r="K85" s="13">
        <v>416947</v>
      </c>
      <c r="L85" s="13">
        <v>1970074</v>
      </c>
      <c r="M85" s="13">
        <v>384984</v>
      </c>
      <c r="N85" s="13">
        <v>7095726</v>
      </c>
      <c r="O85" s="19">
        <v>0.13829</v>
      </c>
      <c r="P85" s="13">
        <v>0</v>
      </c>
      <c r="Q85" s="21">
        <f>364953/7095726</f>
        <v>5.1432792077935365E-2</v>
      </c>
      <c r="R85" s="13">
        <v>364426</v>
      </c>
      <c r="S85" s="13">
        <v>0</v>
      </c>
      <c r="T85" s="13">
        <v>152698</v>
      </c>
      <c r="U85" s="13">
        <v>13773</v>
      </c>
      <c r="V85" s="13">
        <v>16555</v>
      </c>
      <c r="W85" s="13">
        <f>22341+3457</f>
        <v>25798</v>
      </c>
      <c r="X85" s="13">
        <v>7066</v>
      </c>
      <c r="Y85" s="13">
        <v>17524</v>
      </c>
      <c r="Z85" s="13">
        <v>0</v>
      </c>
      <c r="AA85" s="13">
        <f>5215+7952+2956</f>
        <v>16123</v>
      </c>
      <c r="AB85" s="13">
        <v>6585</v>
      </c>
      <c r="AC85" s="13">
        <v>-508</v>
      </c>
      <c r="AD85" s="13">
        <v>9688</v>
      </c>
      <c r="AE85" s="13">
        <v>30066</v>
      </c>
      <c r="AF85" s="13">
        <v>294761</v>
      </c>
      <c r="AG85" s="19">
        <f t="shared" si="11"/>
        <v>0.10200128239488943</v>
      </c>
      <c r="AH85" s="13">
        <v>49725</v>
      </c>
      <c r="AI85" s="13">
        <v>124333</v>
      </c>
      <c r="AJ85" s="13">
        <v>0</v>
      </c>
      <c r="AK85" s="13">
        <v>40385</v>
      </c>
      <c r="AL85" s="13">
        <v>0</v>
      </c>
      <c r="AM85" s="13">
        <v>0</v>
      </c>
      <c r="AN85" s="13">
        <v>0</v>
      </c>
      <c r="AO85" s="13">
        <v>1254</v>
      </c>
      <c r="AP85" s="13">
        <v>569</v>
      </c>
      <c r="AQ85" s="13">
        <v>-71</v>
      </c>
      <c r="AR85" s="13">
        <v>-236</v>
      </c>
      <c r="AS85" s="13">
        <v>-239</v>
      </c>
      <c r="AT85" s="13">
        <v>9</v>
      </c>
      <c r="AU85" s="13">
        <f t="shared" si="12"/>
        <v>1286</v>
      </c>
      <c r="AV85" s="13">
        <v>1285</v>
      </c>
      <c r="AW85" s="13">
        <v>454</v>
      </c>
      <c r="AX85" s="13">
        <v>-62</v>
      </c>
      <c r="AY85" s="13">
        <v>-226</v>
      </c>
      <c r="AZ85" s="13">
        <v>-206</v>
      </c>
      <c r="BA85" s="13">
        <v>9</v>
      </c>
      <c r="BB85" s="13">
        <f t="shared" si="13"/>
        <v>1254</v>
      </c>
      <c r="BC85" s="13">
        <v>10</v>
      </c>
    </row>
    <row r="86" spans="1:55" x14ac:dyDescent="0.25">
      <c r="A86" s="7">
        <v>9</v>
      </c>
      <c r="B86" s="7" t="s">
        <v>131</v>
      </c>
      <c r="C86" s="7" t="s">
        <v>480</v>
      </c>
      <c r="D86" s="7" t="s">
        <v>345</v>
      </c>
      <c r="E86" s="17" t="s">
        <v>331</v>
      </c>
      <c r="F86" s="17" t="s">
        <v>346</v>
      </c>
      <c r="G86" s="13">
        <v>3906123</v>
      </c>
      <c r="H86" s="13">
        <v>9525</v>
      </c>
      <c r="I86" s="13">
        <v>99838</v>
      </c>
      <c r="J86" s="13">
        <v>1327618</v>
      </c>
      <c r="K86" s="13">
        <v>502893</v>
      </c>
      <c r="L86" s="13">
        <v>1516632</v>
      </c>
      <c r="M86" s="13">
        <v>97694</v>
      </c>
      <c r="N86" s="13">
        <v>3806295</v>
      </c>
      <c r="O86" s="19">
        <v>0.11</v>
      </c>
      <c r="P86" s="13">
        <v>0</v>
      </c>
      <c r="Q86" s="21">
        <f>361598/3806295</f>
        <v>9.4999993431933147E-2</v>
      </c>
      <c r="R86" s="13">
        <v>361458</v>
      </c>
      <c r="S86" s="13">
        <v>0</v>
      </c>
      <c r="T86" s="13">
        <v>102200</v>
      </c>
      <c r="U86" s="13">
        <v>8642</v>
      </c>
      <c r="V86" s="13">
        <v>18739</v>
      </c>
      <c r="W86" s="13">
        <f>15660+1241</f>
        <v>16901</v>
      </c>
      <c r="X86" s="13">
        <v>6580</v>
      </c>
      <c r="Y86" s="13">
        <v>38451</v>
      </c>
      <c r="Z86" s="13">
        <v>0</v>
      </c>
      <c r="AA86" s="13">
        <f>8163+12838+3502</f>
        <v>24503</v>
      </c>
      <c r="AB86" s="13">
        <v>2471</v>
      </c>
      <c r="AC86" s="13">
        <v>708</v>
      </c>
      <c r="AD86" s="13">
        <v>7882</v>
      </c>
      <c r="AE86" s="13">
        <v>0</v>
      </c>
      <c r="AF86" s="13">
        <v>252164</v>
      </c>
      <c r="AG86" s="19">
        <f t="shared" si="11"/>
        <v>0</v>
      </c>
      <c r="AH86" s="13">
        <v>25607</v>
      </c>
      <c r="AI86" s="13">
        <v>124333</v>
      </c>
      <c r="AJ86" s="13">
        <v>0</v>
      </c>
      <c r="AK86" s="13">
        <v>20649</v>
      </c>
      <c r="AL86" s="13">
        <v>0</v>
      </c>
      <c r="AM86" s="13">
        <v>0</v>
      </c>
      <c r="AN86" s="13">
        <v>0</v>
      </c>
      <c r="AO86" s="13">
        <v>872</v>
      </c>
      <c r="AP86" s="13">
        <v>348</v>
      </c>
      <c r="AQ86" s="13">
        <v>-72</v>
      </c>
      <c r="AR86" s="13">
        <v>-163</v>
      </c>
      <c r="AS86" s="13">
        <v>-230</v>
      </c>
      <c r="AT86" s="13">
        <v>7</v>
      </c>
      <c r="AU86" s="13">
        <f t="shared" si="12"/>
        <v>762</v>
      </c>
      <c r="AV86" s="13">
        <v>942</v>
      </c>
      <c r="AW86" s="13">
        <v>288</v>
      </c>
      <c r="AX86" s="13">
        <v>-57</v>
      </c>
      <c r="AY86" s="13">
        <v>-107</v>
      </c>
      <c r="AZ86" s="13">
        <v>-194</v>
      </c>
      <c r="BA86" s="13"/>
      <c r="BB86" s="13">
        <f t="shared" si="13"/>
        <v>872</v>
      </c>
      <c r="BC86" s="13">
        <v>5</v>
      </c>
    </row>
    <row r="87" spans="1:55" x14ac:dyDescent="0.25">
      <c r="A87" s="7">
        <v>9</v>
      </c>
      <c r="B87" s="7" t="s">
        <v>179</v>
      </c>
      <c r="C87" s="7" t="s">
        <v>532</v>
      </c>
      <c r="D87" s="7" t="s">
        <v>345</v>
      </c>
      <c r="E87" s="17" t="s">
        <v>331</v>
      </c>
      <c r="F87" s="17" t="s">
        <v>346</v>
      </c>
      <c r="G87" s="13">
        <v>4490298</v>
      </c>
      <c r="H87" s="13">
        <v>17453</v>
      </c>
      <c r="I87" s="13">
        <v>193113</v>
      </c>
      <c r="J87" s="13">
        <v>2142592</v>
      </c>
      <c r="K87" s="13">
        <v>321344</v>
      </c>
      <c r="L87" s="13">
        <v>1058645</v>
      </c>
      <c r="M87" s="13">
        <v>240224</v>
      </c>
      <c r="N87" s="13">
        <v>4205847</v>
      </c>
      <c r="O87" s="19">
        <v>6.0199999999999997E-2</v>
      </c>
      <c r="P87" s="13">
        <v>0</v>
      </c>
      <c r="Q87" s="21">
        <f>410070/4205847</f>
        <v>9.7499980384450499E-2</v>
      </c>
      <c r="R87" s="13">
        <v>410053</v>
      </c>
      <c r="S87" s="13">
        <v>0</v>
      </c>
      <c r="T87" s="13">
        <v>127773</v>
      </c>
      <c r="U87" s="13">
        <v>10608</v>
      </c>
      <c r="V87" s="13">
        <v>23640</v>
      </c>
      <c r="W87" s="13">
        <f>26966+3675</f>
        <v>30641</v>
      </c>
      <c r="X87" s="13">
        <v>0</v>
      </c>
      <c r="Y87" s="13">
        <v>46819</v>
      </c>
      <c r="Z87" s="13">
        <v>0</v>
      </c>
      <c r="AA87" s="13">
        <f>1810+10894+8130</f>
        <v>20834</v>
      </c>
      <c r="AB87" s="13">
        <v>2315</v>
      </c>
      <c r="AC87" s="13">
        <v>0</v>
      </c>
      <c r="AD87" s="13">
        <v>686</v>
      </c>
      <c r="AE87" s="13">
        <v>224057</v>
      </c>
      <c r="AF87" s="13">
        <v>290657</v>
      </c>
      <c r="AG87" s="19">
        <f t="shared" si="11"/>
        <v>0.77086393928238439</v>
      </c>
      <c r="AH87" s="13">
        <v>26783</v>
      </c>
      <c r="AI87" s="13">
        <v>124333</v>
      </c>
      <c r="AJ87" s="13">
        <v>0</v>
      </c>
      <c r="AK87" s="13">
        <v>35631</v>
      </c>
      <c r="AL87" s="13">
        <v>0</v>
      </c>
      <c r="AM87" s="13">
        <v>0</v>
      </c>
      <c r="AN87" s="13">
        <v>0</v>
      </c>
      <c r="AO87" s="13">
        <v>1080</v>
      </c>
      <c r="AP87" s="13">
        <v>479</v>
      </c>
      <c r="AQ87" s="13">
        <v>-65</v>
      </c>
      <c r="AR87" s="13">
        <v>-172</v>
      </c>
      <c r="AS87" s="13">
        <v>-210</v>
      </c>
      <c r="AT87" s="13">
        <f>6-1</f>
        <v>5</v>
      </c>
      <c r="AU87" s="13">
        <f t="shared" si="12"/>
        <v>1117</v>
      </c>
      <c r="AV87" s="13">
        <v>1085</v>
      </c>
      <c r="AW87" s="13">
        <v>392</v>
      </c>
      <c r="AX87" s="13">
        <v>-62</v>
      </c>
      <c r="AY87" s="13">
        <v>-155</v>
      </c>
      <c r="AZ87" s="13">
        <v>-184</v>
      </c>
      <c r="BA87" s="13">
        <v>4</v>
      </c>
      <c r="BB87" s="13">
        <f t="shared" si="13"/>
        <v>1080</v>
      </c>
      <c r="BC87" s="13">
        <v>21</v>
      </c>
    </row>
    <row r="88" spans="1:55" x14ac:dyDescent="0.25">
      <c r="A88" s="7">
        <v>9</v>
      </c>
      <c r="B88" s="7" t="s">
        <v>204</v>
      </c>
      <c r="C88" s="7" t="s">
        <v>15</v>
      </c>
      <c r="D88" s="7" t="s">
        <v>345</v>
      </c>
      <c r="E88" s="17" t="s">
        <v>331</v>
      </c>
      <c r="F88" s="17" t="s">
        <v>346</v>
      </c>
      <c r="G88" s="13">
        <v>5758010</v>
      </c>
      <c r="H88" s="13">
        <v>21994</v>
      </c>
      <c r="I88" s="13">
        <v>266277</v>
      </c>
      <c r="J88" s="13">
        <v>2411430</v>
      </c>
      <c r="K88" s="13">
        <v>493439</v>
      </c>
      <c r="L88" s="13">
        <v>1640302</v>
      </c>
      <c r="M88" s="13">
        <v>253024</v>
      </c>
      <c r="N88" s="13">
        <v>5273799</v>
      </c>
      <c r="O88" s="19">
        <v>7.5999999999999998E-2</v>
      </c>
      <c r="P88" s="13">
        <v>11789</v>
      </c>
      <c r="Q88" s="21">
        <f>458166/5260509</f>
        <v>8.7095374230896666E-2</v>
      </c>
      <c r="R88" s="13">
        <v>458178</v>
      </c>
      <c r="S88" s="13">
        <v>0</v>
      </c>
      <c r="T88" s="13">
        <v>161382</v>
      </c>
      <c r="U88" s="13">
        <v>14598</v>
      </c>
      <c r="V88" s="13">
        <v>43383</v>
      </c>
      <c r="W88" s="13">
        <f>28989+4004</f>
        <v>32993</v>
      </c>
      <c r="X88" s="13">
        <v>2867</v>
      </c>
      <c r="Y88" s="13">
        <v>8896</v>
      </c>
      <c r="Z88" s="13">
        <v>700</v>
      </c>
      <c r="AA88" s="13">
        <f>7250+17715+9684</f>
        <v>34649</v>
      </c>
      <c r="AB88" s="13">
        <v>5784</v>
      </c>
      <c r="AC88" s="13">
        <v>3598</v>
      </c>
      <c r="AD88" s="13">
        <v>5226</v>
      </c>
      <c r="AE88" s="13">
        <v>2346</v>
      </c>
      <c r="AF88" s="13">
        <v>347938</v>
      </c>
      <c r="AG88" s="19">
        <f t="shared" si="11"/>
        <v>6.7425805747000902E-3</v>
      </c>
      <c r="AH88" s="13">
        <v>49009</v>
      </c>
      <c r="AI88" s="13">
        <v>124333</v>
      </c>
      <c r="AJ88" s="13">
        <v>0</v>
      </c>
      <c r="AK88" s="13">
        <v>58992</v>
      </c>
      <c r="AL88" s="13">
        <v>0</v>
      </c>
      <c r="AM88" s="13">
        <v>0</v>
      </c>
      <c r="AN88" s="13">
        <v>0</v>
      </c>
      <c r="AO88" s="13">
        <v>1286</v>
      </c>
      <c r="AP88" s="13">
        <v>463</v>
      </c>
      <c r="AQ88" s="13">
        <v>-63</v>
      </c>
      <c r="AR88" s="13">
        <v>-143</v>
      </c>
      <c r="AS88" s="13">
        <v>-349</v>
      </c>
      <c r="AT88" s="13">
        <v>19</v>
      </c>
      <c r="AU88" s="13">
        <f t="shared" si="12"/>
        <v>1213</v>
      </c>
      <c r="AV88" s="13">
        <v>1476</v>
      </c>
      <c r="AW88" s="13">
        <v>391</v>
      </c>
      <c r="AX88" s="13">
        <v>-41</v>
      </c>
      <c r="AY88" s="13">
        <v>-111</v>
      </c>
      <c r="AZ88" s="13">
        <v>-435</v>
      </c>
      <c r="BA88" s="13">
        <v>6</v>
      </c>
      <c r="BB88" s="13">
        <f t="shared" si="13"/>
        <v>1286</v>
      </c>
      <c r="BC88" s="13">
        <v>0</v>
      </c>
    </row>
    <row r="89" spans="1:55" x14ac:dyDescent="0.25">
      <c r="A89" s="7">
        <v>9</v>
      </c>
      <c r="B89" s="7" t="s">
        <v>226</v>
      </c>
      <c r="C89" s="7" t="s">
        <v>185</v>
      </c>
      <c r="D89" s="7" t="s">
        <v>285</v>
      </c>
      <c r="E89" s="17" t="s">
        <v>512</v>
      </c>
      <c r="F89" s="17" t="s">
        <v>287</v>
      </c>
      <c r="G89" s="13">
        <v>7852374</v>
      </c>
      <c r="H89" s="13">
        <v>38603</v>
      </c>
      <c r="I89" s="13">
        <v>187247</v>
      </c>
      <c r="J89" s="13">
        <v>4341774</v>
      </c>
      <c r="K89" s="13">
        <v>554164</v>
      </c>
      <c r="L89" s="13">
        <v>1307596</v>
      </c>
      <c r="M89" s="13">
        <v>710541</v>
      </c>
      <c r="N89" s="13">
        <v>7423291</v>
      </c>
      <c r="O89" s="19">
        <v>0.13800000000000001</v>
      </c>
      <c r="P89" s="13">
        <v>0</v>
      </c>
      <c r="Q89" s="21">
        <f>423128/7423291</f>
        <v>5.7000055635701201E-2</v>
      </c>
      <c r="R89" s="13">
        <v>423103</v>
      </c>
      <c r="S89" s="13">
        <v>0</v>
      </c>
      <c r="T89" s="13">
        <v>159396</v>
      </c>
      <c r="U89" s="13">
        <v>13794</v>
      </c>
      <c r="V89" s="13">
        <v>19444</v>
      </c>
      <c r="W89" s="13">
        <f>26311+3583</f>
        <v>29894</v>
      </c>
      <c r="X89" s="13">
        <v>0</v>
      </c>
      <c r="Y89" s="13">
        <v>6403</v>
      </c>
      <c r="Z89" s="13">
        <v>0</v>
      </c>
      <c r="AA89" s="13">
        <f>5260+13433+13658</f>
        <v>32351</v>
      </c>
      <c r="AB89" s="13">
        <v>4179</v>
      </c>
      <c r="AC89" s="13">
        <v>1236</v>
      </c>
      <c r="AD89" s="13">
        <v>20802</v>
      </c>
      <c r="AE89" s="13">
        <v>334806</v>
      </c>
      <c r="AF89" s="13">
        <v>344485</v>
      </c>
      <c r="AG89" s="19">
        <f t="shared" si="11"/>
        <v>0.97190298561620969</v>
      </c>
      <c r="AH89" s="13">
        <v>55297</v>
      </c>
      <c r="AI89" s="13">
        <v>124333</v>
      </c>
      <c r="AJ89" s="13">
        <v>0</v>
      </c>
      <c r="AK89" s="13">
        <v>55641</v>
      </c>
      <c r="AL89" s="13">
        <v>0</v>
      </c>
      <c r="AM89" s="13">
        <v>0</v>
      </c>
      <c r="AN89" s="13">
        <v>0</v>
      </c>
      <c r="AO89" s="13">
        <v>1290</v>
      </c>
      <c r="AP89" s="13">
        <v>853</v>
      </c>
      <c r="AQ89" s="13">
        <v>-63</v>
      </c>
      <c r="AR89" s="13">
        <v>-226</v>
      </c>
      <c r="AS89" s="13">
        <v>-211</v>
      </c>
      <c r="AT89" s="13"/>
      <c r="AU89" s="13">
        <f t="shared" si="12"/>
        <v>1643</v>
      </c>
      <c r="AV89" s="13">
        <v>1241</v>
      </c>
      <c r="AW89" s="13">
        <v>527</v>
      </c>
      <c r="AX89" s="13">
        <v>-59</v>
      </c>
      <c r="AY89" s="13">
        <v>-168</v>
      </c>
      <c r="AZ89" s="13">
        <v>-251</v>
      </c>
      <c r="BA89" s="13"/>
      <c r="BB89" s="13">
        <f t="shared" si="13"/>
        <v>1290</v>
      </c>
      <c r="BC89" s="13">
        <v>18</v>
      </c>
    </row>
    <row r="90" spans="1:55" x14ac:dyDescent="0.25">
      <c r="A90" s="7">
        <v>9</v>
      </c>
      <c r="B90" s="7" t="s">
        <v>253</v>
      </c>
      <c r="C90" s="7" t="s">
        <v>151</v>
      </c>
      <c r="D90" s="7" t="s">
        <v>345</v>
      </c>
      <c r="E90" s="17" t="s">
        <v>449</v>
      </c>
      <c r="F90" s="17" t="s">
        <v>346</v>
      </c>
      <c r="G90" s="13">
        <v>32153026</v>
      </c>
      <c r="H90" s="13">
        <v>224967</v>
      </c>
      <c r="I90" s="13">
        <v>7344869</v>
      </c>
      <c r="J90" s="13">
        <v>15002611</v>
      </c>
      <c r="K90" s="13">
        <v>1810555</v>
      </c>
      <c r="L90" s="13">
        <v>5203898</v>
      </c>
      <c r="M90" s="13">
        <v>1514049</v>
      </c>
      <c r="N90" s="13">
        <v>25026273</v>
      </c>
      <c r="O90" s="19">
        <v>0.156</v>
      </c>
      <c r="P90" s="13">
        <v>0</v>
      </c>
      <c r="Q90" s="21">
        <f>1491017/25022150</f>
        <v>5.958788513377148E-2</v>
      </c>
      <c r="R90" s="13">
        <v>1491037</v>
      </c>
      <c r="S90" s="13">
        <v>0</v>
      </c>
      <c r="T90" s="13">
        <v>900771</v>
      </c>
      <c r="U90" s="13">
        <v>71909</v>
      </c>
      <c r="V90" s="13">
        <v>169919</v>
      </c>
      <c r="W90" s="13">
        <f>57865+12710</f>
        <v>70575</v>
      </c>
      <c r="X90" s="13">
        <v>1055</v>
      </c>
      <c r="Y90" s="13">
        <v>20127</v>
      </c>
      <c r="Z90" s="13">
        <v>840</v>
      </c>
      <c r="AA90" s="13">
        <f>13986+99092+78330</f>
        <v>191408</v>
      </c>
      <c r="AB90" s="13">
        <v>9797</v>
      </c>
      <c r="AC90" s="13">
        <v>25441</v>
      </c>
      <c r="AD90" s="13">
        <v>25209</v>
      </c>
      <c r="AE90" s="13">
        <v>168816</v>
      </c>
      <c r="AF90" s="13">
        <v>1602861</v>
      </c>
      <c r="AG90" s="19">
        <f t="shared" si="11"/>
        <v>0.1053216716858168</v>
      </c>
      <c r="AH90" s="13">
        <v>33797</v>
      </c>
      <c r="AI90" s="13">
        <v>124333</v>
      </c>
      <c r="AJ90" s="13">
        <v>0</v>
      </c>
      <c r="AK90" s="13">
        <v>34127</v>
      </c>
      <c r="AL90" s="13">
        <v>0</v>
      </c>
      <c r="AM90" s="13">
        <v>0</v>
      </c>
      <c r="AN90" s="13">
        <v>0</v>
      </c>
      <c r="AO90" s="13">
        <v>5492</v>
      </c>
      <c r="AP90" s="13">
        <v>2217</v>
      </c>
      <c r="AQ90" s="13">
        <v>-174</v>
      </c>
      <c r="AR90" s="13">
        <v>-707</v>
      </c>
      <c r="AS90" s="13">
        <v>-1441</v>
      </c>
      <c r="AT90" s="13">
        <v>16</v>
      </c>
      <c r="AU90" s="13">
        <f t="shared" si="12"/>
        <v>5403</v>
      </c>
      <c r="AV90" s="13">
        <v>5946</v>
      </c>
      <c r="AW90" s="13">
        <v>1758</v>
      </c>
      <c r="AX90" s="13">
        <v>-138</v>
      </c>
      <c r="AY90" s="13">
        <v>-758</v>
      </c>
      <c r="AZ90" s="13">
        <v>-1325</v>
      </c>
      <c r="BA90" s="13">
        <f>10-1</f>
        <v>9</v>
      </c>
      <c r="BB90" s="13">
        <f t="shared" si="13"/>
        <v>5492</v>
      </c>
      <c r="BC90" s="13">
        <v>38</v>
      </c>
    </row>
    <row r="91" spans="1:55" x14ac:dyDescent="0.25">
      <c r="A91" s="7">
        <v>9</v>
      </c>
      <c r="B91" s="7" t="s">
        <v>277</v>
      </c>
      <c r="C91" s="7" t="s">
        <v>416</v>
      </c>
      <c r="D91" s="7" t="s">
        <v>285</v>
      </c>
      <c r="E91" s="17" t="s">
        <v>143</v>
      </c>
      <c r="F91" s="17" t="s">
        <v>287</v>
      </c>
      <c r="G91" s="13">
        <v>4041595</v>
      </c>
      <c r="H91" s="13">
        <v>21835</v>
      </c>
      <c r="I91" s="13">
        <v>162278</v>
      </c>
      <c r="J91" s="13">
        <v>2137734</v>
      </c>
      <c r="K91" s="13">
        <v>309904</v>
      </c>
      <c r="L91" s="13">
        <v>1001760</v>
      </c>
      <c r="M91" s="13">
        <v>175541</v>
      </c>
      <c r="N91" s="13">
        <v>3883140</v>
      </c>
      <c r="O91" s="19">
        <v>8.7300000000000003E-2</v>
      </c>
      <c r="P91" s="13">
        <v>0</v>
      </c>
      <c r="Q91" s="21">
        <f>251871/3883140</f>
        <v>6.4862714195213153E-2</v>
      </c>
      <c r="R91" s="13">
        <v>251871</v>
      </c>
      <c r="S91" s="13">
        <v>0</v>
      </c>
      <c r="T91" s="13">
        <v>55558</v>
      </c>
      <c r="U91" s="13">
        <v>4787</v>
      </c>
      <c r="V91" s="13">
        <v>8693</v>
      </c>
      <c r="W91" s="13">
        <v>12316</v>
      </c>
      <c r="X91" s="13">
        <v>5120</v>
      </c>
      <c r="Y91" s="13">
        <v>5614</v>
      </c>
      <c r="Z91" s="13">
        <v>0</v>
      </c>
      <c r="AA91" s="13">
        <f>5091+7511+5412</f>
        <v>18014</v>
      </c>
      <c r="AB91" s="13">
        <v>2797</v>
      </c>
      <c r="AC91" s="13">
        <v>0</v>
      </c>
      <c r="AD91" s="13">
        <v>0</v>
      </c>
      <c r="AE91" s="13">
        <v>18527</v>
      </c>
      <c r="AF91" s="13">
        <v>144428</v>
      </c>
      <c r="AG91" s="19">
        <f t="shared" si="11"/>
        <v>0.12827845016201844</v>
      </c>
      <c r="AH91" s="13">
        <v>16182</v>
      </c>
      <c r="AI91" s="13">
        <v>124333</v>
      </c>
      <c r="AJ91" s="13">
        <v>0</v>
      </c>
      <c r="AK91" s="13">
        <v>21578</v>
      </c>
      <c r="AL91" s="13">
        <v>0</v>
      </c>
      <c r="AM91" s="13">
        <v>0</v>
      </c>
      <c r="AN91" s="13">
        <v>0</v>
      </c>
      <c r="AO91" s="13">
        <v>619</v>
      </c>
      <c r="AP91" s="13">
        <v>222</v>
      </c>
      <c r="AQ91" s="13">
        <v>-48</v>
      </c>
      <c r="AR91" s="13">
        <v>-79</v>
      </c>
      <c r="AS91" s="13">
        <v>-143</v>
      </c>
      <c r="AT91" s="13">
        <f>2-2</f>
        <v>0</v>
      </c>
      <c r="AU91" s="13">
        <f t="shared" si="12"/>
        <v>571</v>
      </c>
      <c r="AV91" s="13">
        <v>689</v>
      </c>
      <c r="AW91" s="13">
        <v>197</v>
      </c>
      <c r="AX91" s="13">
        <v>-68</v>
      </c>
      <c r="AY91" s="13">
        <v>-75</v>
      </c>
      <c r="AZ91" s="13">
        <v>-130</v>
      </c>
      <c r="BA91" s="13">
        <f>1+5</f>
        <v>6</v>
      </c>
      <c r="BB91" s="13">
        <f t="shared" si="13"/>
        <v>619</v>
      </c>
      <c r="BC91" s="13">
        <v>3</v>
      </c>
    </row>
    <row r="92" spans="1:55" x14ac:dyDescent="0.25">
      <c r="A92" s="7">
        <v>9</v>
      </c>
      <c r="B92" s="7" t="s">
        <v>366</v>
      </c>
      <c r="C92" s="7" t="s">
        <v>527</v>
      </c>
      <c r="D92" s="7" t="s">
        <v>345</v>
      </c>
      <c r="E92" s="17" t="s">
        <v>449</v>
      </c>
      <c r="F92" s="17" t="s">
        <v>346</v>
      </c>
      <c r="G92" s="13">
        <v>34575117</v>
      </c>
      <c r="H92" s="13">
        <v>110897</v>
      </c>
      <c r="I92" s="13">
        <v>1095258</v>
      </c>
      <c r="J92" s="13">
        <v>19926823</v>
      </c>
      <c r="K92" s="13">
        <v>2634731</v>
      </c>
      <c r="L92" s="13">
        <v>8227036</v>
      </c>
      <c r="M92" s="13">
        <v>1559422</v>
      </c>
      <c r="N92" s="13">
        <v>34016686</v>
      </c>
      <c r="O92" s="19">
        <v>5.1999999999999998E-2</v>
      </c>
      <c r="P92" s="13">
        <v>0</v>
      </c>
      <c r="Q92" s="21">
        <f>1526378/33919522</f>
        <v>4.4999985554041708E-2</v>
      </c>
      <c r="R92" s="13">
        <v>1523876</v>
      </c>
      <c r="S92" s="13">
        <v>0</v>
      </c>
      <c r="T92" s="13">
        <v>782404</v>
      </c>
      <c r="U92" s="13">
        <v>70699</v>
      </c>
      <c r="V92" s="13">
        <v>140808</v>
      </c>
      <c r="W92" s="13">
        <v>194661</v>
      </c>
      <c r="X92" s="13">
        <v>3425</v>
      </c>
      <c r="Y92" s="13">
        <v>17374</v>
      </c>
      <c r="Z92" s="13">
        <v>17409</v>
      </c>
      <c r="AA92" s="13">
        <f>30029+96739+52229</f>
        <v>178997</v>
      </c>
      <c r="AB92" s="13">
        <v>10619</v>
      </c>
      <c r="AC92" s="13">
        <v>49577</v>
      </c>
      <c r="AD92" s="13">
        <v>20231</v>
      </c>
      <c r="AE92" s="13">
        <v>0</v>
      </c>
      <c r="AF92" s="13">
        <v>1624611</v>
      </c>
      <c r="AG92" s="19">
        <f t="shared" si="11"/>
        <v>0</v>
      </c>
      <c r="AH92" s="13">
        <v>97963</v>
      </c>
      <c r="AI92" s="13">
        <v>124333</v>
      </c>
      <c r="AJ92" s="13">
        <v>0</v>
      </c>
      <c r="AK92" s="13">
        <v>83195</v>
      </c>
      <c r="AL92" s="13">
        <v>0</v>
      </c>
      <c r="AM92" s="13">
        <v>0</v>
      </c>
      <c r="AN92" s="13">
        <v>0</v>
      </c>
      <c r="AO92" s="13">
        <v>6183</v>
      </c>
      <c r="AP92" s="13">
        <v>2258</v>
      </c>
      <c r="AQ92" s="13">
        <v>-268</v>
      </c>
      <c r="AR92" s="13">
        <v>-821</v>
      </c>
      <c r="AS92" s="13">
        <v>-1177</v>
      </c>
      <c r="AT92" s="13">
        <v>3</v>
      </c>
      <c r="AU92" s="13">
        <f t="shared" si="12"/>
        <v>6178</v>
      </c>
      <c r="AV92" s="13">
        <v>6348</v>
      </c>
      <c r="AW92" s="13">
        <v>1939</v>
      </c>
      <c r="AX92" s="13">
        <v>-248</v>
      </c>
      <c r="AY92" s="13">
        <v>-595</v>
      </c>
      <c r="AZ92" s="13">
        <v>-1261</v>
      </c>
      <c r="BA92" s="13">
        <v>0</v>
      </c>
      <c r="BB92" s="13">
        <f t="shared" si="13"/>
        <v>6183</v>
      </c>
      <c r="BC92" s="13">
        <v>73</v>
      </c>
    </row>
    <row r="93" spans="1:55" x14ac:dyDescent="0.25">
      <c r="A93" s="7">
        <v>9</v>
      </c>
      <c r="B93" s="7" t="s">
        <v>408</v>
      </c>
      <c r="C93" s="7" t="s">
        <v>185</v>
      </c>
      <c r="D93" s="7" t="s">
        <v>285</v>
      </c>
      <c r="E93" s="17" t="s">
        <v>512</v>
      </c>
      <c r="F93" s="17" t="s">
        <v>287</v>
      </c>
      <c r="G93" s="13">
        <v>7824262</v>
      </c>
      <c r="H93" s="13">
        <v>39534</v>
      </c>
      <c r="I93" s="13">
        <v>223656</v>
      </c>
      <c r="J93" s="13">
        <v>4218568</v>
      </c>
      <c r="K93" s="13">
        <v>518172</v>
      </c>
      <c r="L93" s="13">
        <v>1317321</v>
      </c>
      <c r="M93" s="13">
        <v>710146</v>
      </c>
      <c r="N93" s="13">
        <v>7262951</v>
      </c>
      <c r="O93" s="19">
        <v>0.155</v>
      </c>
      <c r="P93" s="13">
        <v>0</v>
      </c>
      <c r="Q93" s="21">
        <f>413988/7262951</f>
        <v>5.6999971499188139E-2</v>
      </c>
      <c r="R93" s="13">
        <v>414003</v>
      </c>
      <c r="S93" s="13">
        <v>0</v>
      </c>
      <c r="T93" s="13">
        <v>165902</v>
      </c>
      <c r="U93" s="13">
        <v>14357</v>
      </c>
      <c r="V93" s="13">
        <v>20238</v>
      </c>
      <c r="W93" s="13">
        <f>26311+3730</f>
        <v>30041</v>
      </c>
      <c r="X93" s="13">
        <v>0</v>
      </c>
      <c r="Y93" s="13">
        <v>6664</v>
      </c>
      <c r="Z93" s="13">
        <v>0</v>
      </c>
      <c r="AA93" s="13">
        <f>5474+13981+14215</f>
        <v>33670</v>
      </c>
      <c r="AB93" s="13">
        <v>3724</v>
      </c>
      <c r="AC93" s="13">
        <v>1286</v>
      </c>
      <c r="AD93" s="13">
        <v>20802</v>
      </c>
      <c r="AE93" s="13">
        <v>345218</v>
      </c>
      <c r="AF93" s="13">
        <v>354442</v>
      </c>
      <c r="AG93" s="19">
        <f t="shared" si="11"/>
        <v>0.97397599607270013</v>
      </c>
      <c r="AH93" s="13">
        <v>57662</v>
      </c>
      <c r="AI93" s="13">
        <v>124333</v>
      </c>
      <c r="AJ93" s="13">
        <v>0</v>
      </c>
      <c r="AK93" s="13">
        <v>39877</v>
      </c>
      <c r="AL93" s="13">
        <v>0</v>
      </c>
      <c r="AM93" s="13">
        <v>0</v>
      </c>
      <c r="AN93" s="13">
        <v>0</v>
      </c>
      <c r="AO93" s="13">
        <v>1306</v>
      </c>
      <c r="AP93" s="13">
        <v>847</v>
      </c>
      <c r="AQ93" s="13">
        <v>-71</v>
      </c>
      <c r="AR93" s="13">
        <v>-222</v>
      </c>
      <c r="AS93" s="13">
        <v>-200</v>
      </c>
      <c r="AT93" s="13"/>
      <c r="AU93" s="13">
        <f t="shared" si="12"/>
        <v>1660</v>
      </c>
      <c r="AV93" s="13">
        <v>1305</v>
      </c>
      <c r="AW93" s="13">
        <v>528</v>
      </c>
      <c r="AX93" s="13">
        <v>-76</v>
      </c>
      <c r="AY93" s="13">
        <v>-204</v>
      </c>
      <c r="AZ93" s="13">
        <v>-247</v>
      </c>
      <c r="BA93" s="13"/>
      <c r="BB93" s="13">
        <f t="shared" si="13"/>
        <v>1306</v>
      </c>
      <c r="BC93" s="13">
        <v>19</v>
      </c>
    </row>
    <row r="94" spans="1:55" x14ac:dyDescent="0.25">
      <c r="A94" s="7">
        <v>9</v>
      </c>
      <c r="B94" s="7" t="s">
        <v>410</v>
      </c>
      <c r="C94" s="7" t="s">
        <v>75</v>
      </c>
      <c r="D94" s="7" t="s">
        <v>345</v>
      </c>
      <c r="E94" s="17" t="s">
        <v>331</v>
      </c>
      <c r="F94" s="17" t="s">
        <v>346</v>
      </c>
      <c r="G94" s="13">
        <v>6103651</v>
      </c>
      <c r="H94" s="13">
        <v>0</v>
      </c>
      <c r="I94" s="13">
        <v>143134</v>
      </c>
      <c r="J94" s="13">
        <v>2770578</v>
      </c>
      <c r="K94" s="13">
        <v>429383</v>
      </c>
      <c r="L94" s="13">
        <v>1795616</v>
      </c>
      <c r="M94" s="13">
        <v>388938</v>
      </c>
      <c r="N94" s="13">
        <v>5869276</v>
      </c>
      <c r="O94" s="19">
        <v>0.1</v>
      </c>
      <c r="P94" s="13">
        <v>11130</v>
      </c>
      <c r="Q94" s="21">
        <f>468252/5853148</f>
        <v>8.0000027335717469E-2</v>
      </c>
      <c r="R94" s="13">
        <v>468278</v>
      </c>
      <c r="S94" s="13">
        <v>0</v>
      </c>
      <c r="T94" s="13">
        <v>160413</v>
      </c>
      <c r="U94" s="13">
        <v>13081</v>
      </c>
      <c r="V94" s="13">
        <v>30468</v>
      </c>
      <c r="W94" s="13">
        <v>57603</v>
      </c>
      <c r="X94" s="13">
        <v>1397</v>
      </c>
      <c r="Y94" s="13">
        <v>10361</v>
      </c>
      <c r="Z94" s="13">
        <v>3125</v>
      </c>
      <c r="AA94" s="13">
        <f>6772+12918+8897</f>
        <v>28587</v>
      </c>
      <c r="AB94" s="13">
        <v>5264</v>
      </c>
      <c r="AC94" s="13">
        <v>4293</v>
      </c>
      <c r="AD94" s="13">
        <v>0</v>
      </c>
      <c r="AE94" s="13">
        <v>0</v>
      </c>
      <c r="AF94" s="13">
        <v>334714</v>
      </c>
      <c r="AG94" s="19">
        <f t="shared" si="11"/>
        <v>0</v>
      </c>
      <c r="AH94" s="13">
        <v>1220</v>
      </c>
      <c r="AI94" s="13">
        <v>124333</v>
      </c>
      <c r="AJ94" s="13">
        <v>0</v>
      </c>
      <c r="AK94" s="13">
        <v>15449</v>
      </c>
      <c r="AL94" s="13">
        <v>0</v>
      </c>
      <c r="AM94" s="13">
        <v>0</v>
      </c>
      <c r="AN94" s="13">
        <v>0</v>
      </c>
      <c r="AO94" s="13">
        <v>1354</v>
      </c>
      <c r="AP94" s="13">
        <v>605</v>
      </c>
      <c r="AQ94" s="13">
        <v>-52</v>
      </c>
      <c r="AR94" s="13">
        <v>-115</v>
      </c>
      <c r="AS94" s="13">
        <v>-259</v>
      </c>
      <c r="AT94" s="13"/>
      <c r="AU94" s="13">
        <f t="shared" si="12"/>
        <v>1533</v>
      </c>
      <c r="AV94" s="13">
        <v>1623</v>
      </c>
      <c r="AW94" s="13">
        <v>423</v>
      </c>
      <c r="AX94" s="13">
        <v>-61</v>
      </c>
      <c r="AY94" s="13">
        <v>-122</v>
      </c>
      <c r="AZ94" s="13">
        <v>-512</v>
      </c>
      <c r="BA94" s="13">
        <v>3</v>
      </c>
      <c r="BB94" s="13">
        <f t="shared" si="13"/>
        <v>1354</v>
      </c>
      <c r="BC94" s="13">
        <v>0</v>
      </c>
    </row>
    <row r="95" spans="1:55" x14ac:dyDescent="0.25">
      <c r="A95" s="7">
        <v>9</v>
      </c>
      <c r="B95" s="7" t="s">
        <v>414</v>
      </c>
      <c r="C95" s="7" t="s">
        <v>451</v>
      </c>
      <c r="D95" s="7" t="s">
        <v>285</v>
      </c>
      <c r="E95" s="17" t="s">
        <v>143</v>
      </c>
      <c r="F95" s="17" t="s">
        <v>287</v>
      </c>
      <c r="G95" s="13">
        <v>52423247</v>
      </c>
      <c r="H95" s="13">
        <v>217812</v>
      </c>
      <c r="I95" s="13">
        <v>2310471</v>
      </c>
      <c r="J95" s="13">
        <v>32923802</v>
      </c>
      <c r="K95" s="13">
        <v>1743342</v>
      </c>
      <c r="L95" s="13">
        <v>9889804</v>
      </c>
      <c r="M95" s="13">
        <v>2769723</v>
      </c>
      <c r="N95" s="13">
        <v>49369206</v>
      </c>
      <c r="O95" s="19">
        <v>0.1172</v>
      </c>
      <c r="P95" s="13">
        <f>193753+163220</f>
        <v>356973</v>
      </c>
      <c r="Q95" s="21">
        <f>1958142/48953561</f>
        <v>3.9999991011889821E-2</v>
      </c>
      <c r="R95" s="13">
        <v>1958214</v>
      </c>
      <c r="S95" s="13">
        <v>0</v>
      </c>
      <c r="T95" s="13">
        <v>1069798</v>
      </c>
      <c r="U95" s="13">
        <v>94222</v>
      </c>
      <c r="V95" s="13">
        <v>202202</v>
      </c>
      <c r="W95" s="13">
        <f>163562+15833</f>
        <v>179395</v>
      </c>
      <c r="X95" s="13">
        <v>4612</v>
      </c>
      <c r="Y95" s="13">
        <v>16716</v>
      </c>
      <c r="Z95" s="13">
        <v>19415</v>
      </c>
      <c r="AA95" s="13">
        <f>27690+74138+85612</f>
        <v>187440</v>
      </c>
      <c r="AB95" s="13">
        <v>20611</v>
      </c>
      <c r="AC95" s="13">
        <v>900</v>
      </c>
      <c r="AD95" s="13">
        <v>52997</v>
      </c>
      <c r="AE95" s="13">
        <v>14016</v>
      </c>
      <c r="AF95" s="13">
        <v>2114726</v>
      </c>
      <c r="AG95" s="19">
        <f t="shared" si="11"/>
        <v>6.6278089927489427E-3</v>
      </c>
      <c r="AH95" s="13">
        <v>271283</v>
      </c>
      <c r="AI95" s="13">
        <v>124333</v>
      </c>
      <c r="AJ95" s="13">
        <v>0</v>
      </c>
      <c r="AK95" s="13">
        <v>316813</v>
      </c>
      <c r="AL95" s="13">
        <v>0</v>
      </c>
      <c r="AM95" s="13">
        <v>0</v>
      </c>
      <c r="AN95" s="13">
        <v>0</v>
      </c>
      <c r="AO95" s="13">
        <v>7598</v>
      </c>
      <c r="AP95" s="13">
        <v>4353</v>
      </c>
      <c r="AQ95" s="13">
        <v>-507</v>
      </c>
      <c r="AR95" s="13">
        <v>-2284</v>
      </c>
      <c r="AS95" s="13">
        <v>-1119</v>
      </c>
      <c r="AT95" s="13">
        <v>40</v>
      </c>
      <c r="AU95" s="13">
        <f t="shared" si="12"/>
        <v>8081</v>
      </c>
      <c r="AV95" s="13">
        <v>7909</v>
      </c>
      <c r="AW95" s="13">
        <v>3442</v>
      </c>
      <c r="AX95" s="13">
        <v>-436</v>
      </c>
      <c r="AY95" s="13">
        <v>-2204</v>
      </c>
      <c r="AZ95" s="13">
        <v>-1156</v>
      </c>
      <c r="BA95" s="13">
        <v>43</v>
      </c>
      <c r="BB95" s="13">
        <f t="shared" si="13"/>
        <v>7598</v>
      </c>
      <c r="BC95" s="13">
        <v>14</v>
      </c>
    </row>
    <row r="96" spans="1:55" x14ac:dyDescent="0.25">
      <c r="A96" s="7">
        <v>9</v>
      </c>
      <c r="B96" s="7" t="s">
        <v>505</v>
      </c>
      <c r="C96" s="7" t="s">
        <v>94</v>
      </c>
      <c r="D96" s="7" t="s">
        <v>345</v>
      </c>
      <c r="E96" s="17" t="s">
        <v>331</v>
      </c>
      <c r="F96" s="17" t="s">
        <v>346</v>
      </c>
      <c r="G96" s="13">
        <v>17480289</v>
      </c>
      <c r="H96" s="13">
        <v>99154</v>
      </c>
      <c r="I96" s="13">
        <v>1053694</v>
      </c>
      <c r="J96" s="13">
        <v>8653230</v>
      </c>
      <c r="K96" s="13">
        <v>1905393</v>
      </c>
      <c r="L96" s="13">
        <v>3814869</v>
      </c>
      <c r="M96" s="13">
        <v>567515</v>
      </c>
      <c r="N96" s="13">
        <v>16032127</v>
      </c>
      <c r="O96" s="19">
        <v>8.8999999999999996E-2</v>
      </c>
      <c r="P96" s="13">
        <v>0</v>
      </c>
      <c r="Q96" s="21">
        <f>1076227/15944108</f>
        <v>6.7499981811462897E-2</v>
      </c>
      <c r="R96" s="13">
        <v>1076169</v>
      </c>
      <c r="S96" s="13">
        <v>0</v>
      </c>
      <c r="T96" s="13">
        <v>464498</v>
      </c>
      <c r="U96" s="13">
        <v>37493</v>
      </c>
      <c r="V96" s="13">
        <v>112724</v>
      </c>
      <c r="W96" s="13">
        <f>74808+10935</f>
        <v>85743</v>
      </c>
      <c r="X96" s="13">
        <v>7436</v>
      </c>
      <c r="Y96" s="13">
        <v>83577</v>
      </c>
      <c r="Z96" s="13">
        <v>903</v>
      </c>
      <c r="AA96" s="13">
        <f>7875+54650+18775</f>
        <v>81300</v>
      </c>
      <c r="AB96" s="13">
        <v>8152</v>
      </c>
      <c r="AC96" s="13">
        <v>41878</v>
      </c>
      <c r="AD96" s="13">
        <v>6689</v>
      </c>
      <c r="AE96" s="13">
        <v>0</v>
      </c>
      <c r="AF96" s="13">
        <v>1076184</v>
      </c>
      <c r="AG96" s="19">
        <f t="shared" si="11"/>
        <v>0</v>
      </c>
      <c r="AH96" s="13">
        <v>156275</v>
      </c>
      <c r="AI96" s="13">
        <v>124333</v>
      </c>
      <c r="AJ96" s="13">
        <v>0</v>
      </c>
      <c r="AK96" s="13">
        <v>138723</v>
      </c>
      <c r="AL96" s="13">
        <v>0</v>
      </c>
      <c r="AM96" s="13">
        <v>0</v>
      </c>
      <c r="AN96" s="13">
        <v>0</v>
      </c>
      <c r="AO96" s="13">
        <v>3954</v>
      </c>
      <c r="AP96" s="13">
        <v>1855</v>
      </c>
      <c r="AQ96" s="13">
        <v>-124</v>
      </c>
      <c r="AR96" s="13">
        <v>-889</v>
      </c>
      <c r="AS96" s="13">
        <v>-803</v>
      </c>
      <c r="AT96" s="13">
        <v>-1</v>
      </c>
      <c r="AU96" s="13">
        <f t="shared" si="12"/>
        <v>3992</v>
      </c>
      <c r="AV96" s="13">
        <v>3971</v>
      </c>
      <c r="AW96" s="13">
        <v>1789</v>
      </c>
      <c r="AX96" s="13">
        <v>-167</v>
      </c>
      <c r="AY96" s="13">
        <v>-905</v>
      </c>
      <c r="AZ96" s="13">
        <v>-734</v>
      </c>
      <c r="BA96" s="13"/>
      <c r="BB96" s="13">
        <f t="shared" si="13"/>
        <v>3954</v>
      </c>
      <c r="BC96" s="13">
        <v>9</v>
      </c>
    </row>
    <row r="97" spans="1:55" x14ac:dyDescent="0.25">
      <c r="A97" s="7">
        <v>10</v>
      </c>
      <c r="B97" s="7" t="s">
        <v>13</v>
      </c>
      <c r="C97" s="7" t="s">
        <v>170</v>
      </c>
      <c r="D97" s="7" t="s">
        <v>217</v>
      </c>
      <c r="E97" s="17" t="s">
        <v>331</v>
      </c>
      <c r="F97" s="17" t="s">
        <v>219</v>
      </c>
      <c r="G97" s="13">
        <v>2948094</v>
      </c>
      <c r="H97" s="13">
        <v>19820</v>
      </c>
      <c r="I97" s="13">
        <v>76234</v>
      </c>
      <c r="J97" s="13">
        <v>1355269</v>
      </c>
      <c r="K97" s="13">
        <v>202054</v>
      </c>
      <c r="L97" s="13">
        <v>756187</v>
      </c>
      <c r="M97" s="13">
        <v>359496</v>
      </c>
      <c r="N97" s="13">
        <v>2930525</v>
      </c>
      <c r="O97" s="19">
        <v>0.15</v>
      </c>
      <c r="P97" s="13">
        <v>0</v>
      </c>
      <c r="Q97" s="21">
        <f>256047/2926255</f>
        <v>8.7499893208213234E-2</v>
      </c>
      <c r="R97" s="13">
        <v>253249</v>
      </c>
      <c r="S97" s="13">
        <v>0</v>
      </c>
      <c r="T97" s="13">
        <v>70935</v>
      </c>
      <c r="U97" s="13">
        <v>8183</v>
      </c>
      <c r="V97" s="13">
        <v>12164</v>
      </c>
      <c r="W97" s="13">
        <v>8520</v>
      </c>
      <c r="X97" s="13">
        <v>6600</v>
      </c>
      <c r="Y97" s="13">
        <v>7069</v>
      </c>
      <c r="Z97" s="13">
        <v>0</v>
      </c>
      <c r="AA97" s="13">
        <f>5300+7478+4160</f>
        <v>16938</v>
      </c>
      <c r="AB97" s="13">
        <v>4037</v>
      </c>
      <c r="AC97" s="13">
        <v>321</v>
      </c>
      <c r="AD97" s="13">
        <v>2367</v>
      </c>
      <c r="AE97" s="13">
        <v>42035</v>
      </c>
      <c r="AF97" s="13">
        <v>152423</v>
      </c>
      <c r="AG97" s="19">
        <f t="shared" si="11"/>
        <v>0.27577858984536452</v>
      </c>
      <c r="AH97" s="13">
        <v>25865</v>
      </c>
      <c r="AI97" s="13">
        <v>124333</v>
      </c>
      <c r="AJ97" s="13">
        <v>0</v>
      </c>
      <c r="AK97" s="13">
        <v>24220</v>
      </c>
      <c r="AL97" s="13">
        <v>0</v>
      </c>
      <c r="AM97" s="13">
        <v>0</v>
      </c>
      <c r="AN97" s="13">
        <v>0</v>
      </c>
      <c r="AO97" s="13">
        <v>635</v>
      </c>
      <c r="AP97" s="13">
        <v>264</v>
      </c>
      <c r="AQ97" s="13">
        <v>-40</v>
      </c>
      <c r="AR97" s="13">
        <v>-141</v>
      </c>
      <c r="AS97" s="13">
        <v>-129</v>
      </c>
      <c r="AT97" s="13">
        <v>14</v>
      </c>
      <c r="AU97" s="13">
        <f t="shared" si="12"/>
        <v>603</v>
      </c>
      <c r="AV97" s="13">
        <v>702</v>
      </c>
      <c r="AW97" s="13">
        <v>243</v>
      </c>
      <c r="AX97" s="13">
        <v>-71</v>
      </c>
      <c r="AY97" s="13">
        <v>-106</v>
      </c>
      <c r="AZ97" s="13">
        <v>-138</v>
      </c>
      <c r="BA97" s="13">
        <v>5</v>
      </c>
      <c r="BB97" s="13">
        <f t="shared" si="13"/>
        <v>635</v>
      </c>
      <c r="BC97" s="13">
        <v>2</v>
      </c>
    </row>
    <row r="98" spans="1:55" x14ac:dyDescent="0.25">
      <c r="A98" s="7">
        <v>10</v>
      </c>
      <c r="B98" s="7" t="s">
        <v>51</v>
      </c>
      <c r="C98" s="7" t="s">
        <v>439</v>
      </c>
      <c r="D98" s="7" t="s">
        <v>217</v>
      </c>
      <c r="E98" s="17" t="s">
        <v>449</v>
      </c>
      <c r="F98" s="17" t="s">
        <v>219</v>
      </c>
      <c r="G98" s="13">
        <v>4265030</v>
      </c>
      <c r="H98" s="13">
        <v>5885</v>
      </c>
      <c r="I98" s="13">
        <v>85928</v>
      </c>
      <c r="J98" s="13">
        <v>2284138</v>
      </c>
      <c r="K98" s="13">
        <v>169037</v>
      </c>
      <c r="L98" s="13">
        <v>645138</v>
      </c>
      <c r="M98" s="13">
        <v>428881</v>
      </c>
      <c r="N98" s="13">
        <v>3858531</v>
      </c>
      <c r="O98" s="19">
        <v>0.09</v>
      </c>
      <c r="P98" s="13">
        <v>0</v>
      </c>
      <c r="Q98" s="21">
        <f>308682/3858531</f>
        <v>7.9999875600325621E-2</v>
      </c>
      <c r="R98" s="13">
        <v>308693</v>
      </c>
      <c r="S98" s="13">
        <v>0</v>
      </c>
      <c r="T98" s="13">
        <v>68780</v>
      </c>
      <c r="U98" s="13">
        <v>6431</v>
      </c>
      <c r="V98" s="13">
        <v>9597</v>
      </c>
      <c r="W98" s="13">
        <v>12000</v>
      </c>
      <c r="X98" s="13">
        <v>0</v>
      </c>
      <c r="Y98" s="13">
        <v>17271</v>
      </c>
      <c r="Z98" s="13">
        <v>8744</v>
      </c>
      <c r="AA98" s="13">
        <f>6872+8555+10660</f>
        <v>26087</v>
      </c>
      <c r="AB98" s="13">
        <v>1582</v>
      </c>
      <c r="AC98" s="13">
        <v>759</v>
      </c>
      <c r="AD98" s="13">
        <v>24488</v>
      </c>
      <c r="AE98" s="13">
        <v>59174</v>
      </c>
      <c r="AF98" s="13">
        <v>220325</v>
      </c>
      <c r="AG98" s="19">
        <f t="shared" si="11"/>
        <v>0.26857596732100308</v>
      </c>
      <c r="AH98" s="13">
        <v>1613</v>
      </c>
      <c r="AI98" s="13">
        <v>124333</v>
      </c>
      <c r="AJ98" s="13">
        <v>0</v>
      </c>
      <c r="AK98" s="13">
        <v>0</v>
      </c>
      <c r="AL98" s="13">
        <v>0</v>
      </c>
      <c r="AM98" s="13">
        <v>0</v>
      </c>
      <c r="AN98" s="13">
        <v>0</v>
      </c>
      <c r="AO98" s="13">
        <v>931</v>
      </c>
      <c r="AP98" s="13">
        <v>640</v>
      </c>
      <c r="AQ98" s="13">
        <v>-71</v>
      </c>
      <c r="AR98" s="13">
        <v>-138</v>
      </c>
      <c r="AS98" s="13">
        <v>-75</v>
      </c>
      <c r="AT98" s="13">
        <f>11-1</f>
        <v>10</v>
      </c>
      <c r="AU98" s="13">
        <f t="shared" si="12"/>
        <v>1297</v>
      </c>
      <c r="AV98" s="13">
        <v>711</v>
      </c>
      <c r="AW98" s="13">
        <v>421</v>
      </c>
      <c r="AX98" s="13">
        <v>-57</v>
      </c>
      <c r="AY98" s="13">
        <v>-85</v>
      </c>
      <c r="AZ98" s="13">
        <v>-60</v>
      </c>
      <c r="BA98" s="13">
        <f>2-1</f>
        <v>1</v>
      </c>
      <c r="BB98" s="13">
        <f t="shared" si="13"/>
        <v>931</v>
      </c>
      <c r="BC98" s="13">
        <v>15</v>
      </c>
    </row>
    <row r="99" spans="1:55" x14ac:dyDescent="0.25">
      <c r="A99" s="7">
        <v>10</v>
      </c>
      <c r="B99" s="7" t="s">
        <v>58</v>
      </c>
      <c r="C99" s="7" t="s">
        <v>406</v>
      </c>
      <c r="D99" s="7" t="s">
        <v>215</v>
      </c>
      <c r="E99" s="17" t="s">
        <v>80</v>
      </c>
      <c r="F99" s="17" t="s">
        <v>216</v>
      </c>
      <c r="G99" s="13">
        <v>2053536</v>
      </c>
      <c r="H99" s="13">
        <v>3609</v>
      </c>
      <c r="I99" s="13">
        <v>16853</v>
      </c>
      <c r="J99" s="13">
        <v>1084674</v>
      </c>
      <c r="K99" s="13">
        <v>204319</v>
      </c>
      <c r="L99" s="13">
        <v>385525</v>
      </c>
      <c r="M99" s="13">
        <v>138358</v>
      </c>
      <c r="N99" s="13">
        <v>2016351</v>
      </c>
      <c r="O99" s="19">
        <v>0.12</v>
      </c>
      <c r="P99" s="13">
        <v>0</v>
      </c>
      <c r="Q99" s="21">
        <f>201635/2016351</f>
        <v>9.9999950405460156E-2</v>
      </c>
      <c r="R99" s="13">
        <v>201600</v>
      </c>
      <c r="S99" s="13">
        <v>0</v>
      </c>
      <c r="T99" s="13">
        <v>58365</v>
      </c>
      <c r="U99" s="13">
        <v>5184</v>
      </c>
      <c r="V99" s="13">
        <v>3862</v>
      </c>
      <c r="W99" s="13">
        <f>6840+742</f>
        <v>7582</v>
      </c>
      <c r="X99" s="13">
        <v>0</v>
      </c>
      <c r="Y99" s="13">
        <v>0</v>
      </c>
      <c r="Z99" s="13">
        <v>0</v>
      </c>
      <c r="AA99" s="13">
        <f>1120+3492+3390</f>
        <v>8002</v>
      </c>
      <c r="AB99" s="13">
        <v>3226</v>
      </c>
      <c r="AC99" s="13">
        <v>499</v>
      </c>
      <c r="AD99" s="13">
        <v>4691</v>
      </c>
      <c r="AE99" s="13">
        <v>38207</v>
      </c>
      <c r="AF99" s="13">
        <v>102498</v>
      </c>
      <c r="AG99" s="19">
        <f t="shared" si="11"/>
        <v>0.37275849284864093</v>
      </c>
      <c r="AH99" s="13">
        <v>11466</v>
      </c>
      <c r="AI99" s="13">
        <v>101834</v>
      </c>
      <c r="AJ99" s="13">
        <v>0</v>
      </c>
      <c r="AK99" s="13">
        <v>12499</v>
      </c>
      <c r="AL99" s="13">
        <v>0</v>
      </c>
      <c r="AM99" s="13">
        <v>0</v>
      </c>
      <c r="AN99" s="13">
        <v>0</v>
      </c>
      <c r="AO99" s="13">
        <v>523</v>
      </c>
      <c r="AP99" s="13">
        <v>257</v>
      </c>
      <c r="AQ99" s="13">
        <v>-52</v>
      </c>
      <c r="AR99" s="13">
        <v>-71</v>
      </c>
      <c r="AS99" s="13">
        <v>-119</v>
      </c>
      <c r="AT99" s="13">
        <v>-1</v>
      </c>
      <c r="AU99" s="13">
        <f t="shared" si="12"/>
        <v>537</v>
      </c>
      <c r="AV99" s="13">
        <v>549</v>
      </c>
      <c r="AW99" s="13">
        <v>217</v>
      </c>
      <c r="AX99" s="13">
        <v>-41</v>
      </c>
      <c r="AY99" s="13">
        <v>-52</v>
      </c>
      <c r="AZ99" s="13">
        <v>-149</v>
      </c>
      <c r="BA99" s="13">
        <v>-1</v>
      </c>
      <c r="BB99" s="13">
        <f t="shared" si="13"/>
        <v>523</v>
      </c>
      <c r="BC99" s="13">
        <v>0</v>
      </c>
    </row>
    <row r="100" spans="1:55" x14ac:dyDescent="0.25">
      <c r="A100" s="7">
        <v>10</v>
      </c>
      <c r="B100" s="7" t="s">
        <v>65</v>
      </c>
      <c r="C100" s="7" t="s">
        <v>220</v>
      </c>
      <c r="D100" s="7" t="s">
        <v>217</v>
      </c>
      <c r="E100" s="17" t="s">
        <v>449</v>
      </c>
      <c r="F100" s="17" t="s">
        <v>219</v>
      </c>
      <c r="G100" s="13">
        <v>14047840</v>
      </c>
      <c r="H100" s="13">
        <v>94445</v>
      </c>
      <c r="I100" s="13">
        <v>775529</v>
      </c>
      <c r="J100" s="13">
        <v>5988378</v>
      </c>
      <c r="K100" s="13">
        <v>1542834</v>
      </c>
      <c r="L100" s="13">
        <v>3488998</v>
      </c>
      <c r="M100" s="13">
        <v>1246323</v>
      </c>
      <c r="N100" s="13">
        <v>12971782</v>
      </c>
      <c r="O100" s="19">
        <v>0.2712</v>
      </c>
      <c r="P100" s="13">
        <v>0</v>
      </c>
      <c r="Q100" s="21">
        <f>713448/12971782</f>
        <v>5.4999999229095896E-2</v>
      </c>
      <c r="R100" s="13">
        <v>702878</v>
      </c>
      <c r="S100" s="13">
        <v>0</v>
      </c>
      <c r="T100" s="13">
        <v>373737</v>
      </c>
      <c r="U100" s="13">
        <v>31257</v>
      </c>
      <c r="V100" s="13">
        <v>49702</v>
      </c>
      <c r="W100" s="13">
        <v>75951</v>
      </c>
      <c r="X100" s="13">
        <v>21750</v>
      </c>
      <c r="Y100" s="13">
        <v>28188</v>
      </c>
      <c r="Z100" s="13">
        <v>0</v>
      </c>
      <c r="AA100" s="13">
        <f>9222+14700+20278</f>
        <v>44200</v>
      </c>
      <c r="AB100" s="13">
        <v>2344</v>
      </c>
      <c r="AC100" s="13">
        <v>14260</v>
      </c>
      <c r="AD100" s="13">
        <v>8144</v>
      </c>
      <c r="AE100" s="13">
        <v>32923</v>
      </c>
      <c r="AF100" s="13">
        <v>687301</v>
      </c>
      <c r="AG100" s="19">
        <f t="shared" si="11"/>
        <v>4.7901865412679455E-2</v>
      </c>
      <c r="AH100" s="13">
        <v>78358</v>
      </c>
      <c r="AI100" s="13">
        <v>124333</v>
      </c>
      <c r="AJ100" s="13">
        <v>0</v>
      </c>
      <c r="AK100" s="13">
        <v>67111</v>
      </c>
      <c r="AL100" s="13">
        <v>0</v>
      </c>
      <c r="AM100" s="13">
        <v>0</v>
      </c>
      <c r="AN100" s="13">
        <v>0</v>
      </c>
      <c r="AO100" s="13">
        <v>3930</v>
      </c>
      <c r="AP100" s="13">
        <v>2059</v>
      </c>
      <c r="AQ100" s="13">
        <v>-310</v>
      </c>
      <c r="AR100" s="13">
        <v>-733</v>
      </c>
      <c r="AS100" s="13">
        <v>-628</v>
      </c>
      <c r="AT100" s="13">
        <v>48</v>
      </c>
      <c r="AU100" s="13">
        <f t="shared" si="12"/>
        <v>4366</v>
      </c>
      <c r="AV100" s="13">
        <v>4128</v>
      </c>
      <c r="AW100" s="13">
        <v>1761</v>
      </c>
      <c r="AX100" s="13">
        <v>-249</v>
      </c>
      <c r="AY100" s="13">
        <v>-660</v>
      </c>
      <c r="AZ100" s="13">
        <v>-1098</v>
      </c>
      <c r="BA100" s="13">
        <v>48</v>
      </c>
      <c r="BB100" s="13">
        <f t="shared" si="13"/>
        <v>3930</v>
      </c>
      <c r="BC100" s="13">
        <v>0</v>
      </c>
    </row>
    <row r="101" spans="1:55" x14ac:dyDescent="0.25">
      <c r="A101" s="7">
        <v>10</v>
      </c>
      <c r="B101" s="7" t="s">
        <v>81</v>
      </c>
      <c r="C101" s="7" t="s">
        <v>113</v>
      </c>
      <c r="D101" s="7" t="s">
        <v>217</v>
      </c>
      <c r="E101" s="17" t="s">
        <v>331</v>
      </c>
      <c r="F101" s="17" t="s">
        <v>219</v>
      </c>
      <c r="G101" s="13">
        <v>8411442</v>
      </c>
      <c r="H101" s="13">
        <v>48085</v>
      </c>
      <c r="I101" s="13">
        <v>421403</v>
      </c>
      <c r="J101" s="13">
        <v>5345476</v>
      </c>
      <c r="K101" s="13">
        <v>500713</v>
      </c>
      <c r="L101" s="13">
        <v>1517418</v>
      </c>
      <c r="M101" s="13">
        <v>298880</v>
      </c>
      <c r="N101" s="13">
        <v>8152881</v>
      </c>
      <c r="O101" s="19">
        <v>0.15</v>
      </c>
      <c r="P101" s="13">
        <v>1838345</v>
      </c>
      <c r="Q101" s="21">
        <f>472481/6299747</f>
        <v>7.4999996031586663E-2</v>
      </c>
      <c r="R101" s="13">
        <v>472481</v>
      </c>
      <c r="S101" s="13">
        <v>0</v>
      </c>
      <c r="T101" s="13">
        <v>188481</v>
      </c>
      <c r="U101" s="13">
        <v>15149</v>
      </c>
      <c r="V101" s="13">
        <v>17007</v>
      </c>
      <c r="W101" s="13">
        <f>38152+3823</f>
        <v>41975</v>
      </c>
      <c r="X101" s="13">
        <v>8145</v>
      </c>
      <c r="Y101" s="13">
        <v>18518</v>
      </c>
      <c r="Z101" s="13">
        <v>701</v>
      </c>
      <c r="AA101" s="13">
        <f>9292+19764+27492</f>
        <v>56548</v>
      </c>
      <c r="AB101" s="13">
        <v>8274</v>
      </c>
      <c r="AC101" s="13">
        <v>16269</v>
      </c>
      <c r="AD101" s="13">
        <v>3336</v>
      </c>
      <c r="AE101" s="13">
        <v>220</v>
      </c>
      <c r="AF101" s="13">
        <v>416564</v>
      </c>
      <c r="AG101" s="19">
        <f t="shared" si="11"/>
        <v>5.281301312643435E-4</v>
      </c>
      <c r="AH101" s="13">
        <v>58022</v>
      </c>
      <c r="AI101" s="13">
        <v>124333</v>
      </c>
      <c r="AJ101" s="13">
        <v>0</v>
      </c>
      <c r="AK101" s="13">
        <v>59795</v>
      </c>
      <c r="AL101" s="13">
        <v>0</v>
      </c>
      <c r="AM101" s="13">
        <v>0</v>
      </c>
      <c r="AN101" s="13">
        <v>0</v>
      </c>
      <c r="AO101" s="13">
        <v>1498</v>
      </c>
      <c r="AP101" s="13">
        <v>758</v>
      </c>
      <c r="AQ101" s="13">
        <v>-62</v>
      </c>
      <c r="AR101" s="13">
        <v>-363</v>
      </c>
      <c r="AS101" s="13">
        <v>-267</v>
      </c>
      <c r="AT101" s="13">
        <f>26-1+7</f>
        <v>32</v>
      </c>
      <c r="AU101" s="13">
        <f t="shared" si="12"/>
        <v>1596</v>
      </c>
      <c r="AV101" s="13">
        <v>1519</v>
      </c>
      <c r="AW101" s="13">
        <v>618</v>
      </c>
      <c r="AX101" s="13">
        <v>-70</v>
      </c>
      <c r="AY101" s="13">
        <v>-333</v>
      </c>
      <c r="AZ101" s="13">
        <v>-263</v>
      </c>
      <c r="BA101" s="13">
        <v>27</v>
      </c>
      <c r="BB101" s="13">
        <f t="shared" si="13"/>
        <v>1498</v>
      </c>
      <c r="BC101" s="13">
        <v>10</v>
      </c>
    </row>
    <row r="102" spans="1:55" x14ac:dyDescent="0.25">
      <c r="A102" s="7">
        <v>10</v>
      </c>
      <c r="B102" s="7" t="s">
        <v>93</v>
      </c>
      <c r="C102" s="7" t="s">
        <v>369</v>
      </c>
      <c r="D102" s="7" t="s">
        <v>215</v>
      </c>
      <c r="E102" s="17" t="s">
        <v>80</v>
      </c>
      <c r="F102" s="17" t="s">
        <v>216</v>
      </c>
      <c r="G102" s="13">
        <v>2943576</v>
      </c>
      <c r="H102" s="13">
        <v>2265</v>
      </c>
      <c r="I102" s="13">
        <v>30475</v>
      </c>
      <c r="J102" s="13">
        <v>1151836</v>
      </c>
      <c r="K102" s="13">
        <v>277026</v>
      </c>
      <c r="L102" s="13">
        <v>837840</v>
      </c>
      <c r="M102" s="13">
        <v>258828</v>
      </c>
      <c r="N102" s="13">
        <v>2808471</v>
      </c>
      <c r="O102" s="19">
        <v>5.0999999999999997E-2</v>
      </c>
      <c r="P102" s="13">
        <v>0</v>
      </c>
      <c r="Q102" s="21">
        <f>280847/2808471</f>
        <v>9.9999964393436849E-2</v>
      </c>
      <c r="R102" s="13">
        <v>280412</v>
      </c>
      <c r="S102" s="13">
        <v>0</v>
      </c>
      <c r="T102" s="13">
        <v>67657</v>
      </c>
      <c r="U102" s="13">
        <v>3039</v>
      </c>
      <c r="V102" s="13">
        <v>3829</v>
      </c>
      <c r="W102" s="13">
        <f>7951+480</f>
        <v>8431</v>
      </c>
      <c r="X102" s="13">
        <v>0</v>
      </c>
      <c r="Y102" s="13">
        <v>34468</v>
      </c>
      <c r="Z102" s="13">
        <v>0</v>
      </c>
      <c r="AA102" s="13">
        <f>816+3504+1515</f>
        <v>5835</v>
      </c>
      <c r="AB102" s="13">
        <v>1980</v>
      </c>
      <c r="AC102" s="13">
        <v>0</v>
      </c>
      <c r="AD102" s="13">
        <v>10759</v>
      </c>
      <c r="AE102" s="13">
        <v>34659</v>
      </c>
      <c r="AF102" s="13">
        <v>144216</v>
      </c>
      <c r="AG102" s="19">
        <f t="shared" si="11"/>
        <v>0.24032700948577135</v>
      </c>
      <c r="AH102" s="13">
        <v>6019</v>
      </c>
      <c r="AI102" s="13">
        <v>124333</v>
      </c>
      <c r="AJ102" s="13">
        <v>0</v>
      </c>
      <c r="AK102" s="13">
        <v>21943</v>
      </c>
      <c r="AL102" s="13">
        <v>0</v>
      </c>
      <c r="AM102" s="13">
        <v>0</v>
      </c>
      <c r="AN102" s="13">
        <v>0</v>
      </c>
      <c r="AO102" s="13">
        <v>877</v>
      </c>
      <c r="AP102" s="13">
        <v>561</v>
      </c>
      <c r="AQ102" s="13">
        <v>-101</v>
      </c>
      <c r="AR102" s="13">
        <v>-90</v>
      </c>
      <c r="AS102" s="13">
        <v>-230</v>
      </c>
      <c r="AT102" s="13">
        <v>14</v>
      </c>
      <c r="AU102" s="13">
        <f t="shared" si="12"/>
        <v>1031</v>
      </c>
      <c r="AV102" s="13">
        <v>843</v>
      </c>
      <c r="AW102" s="13">
        <v>404</v>
      </c>
      <c r="AX102" s="13">
        <v>-82</v>
      </c>
      <c r="AY102" s="13">
        <v>-81</v>
      </c>
      <c r="AZ102" s="13">
        <v>-219</v>
      </c>
      <c r="BA102" s="13">
        <v>12</v>
      </c>
      <c r="BB102" s="13">
        <f t="shared" si="13"/>
        <v>877</v>
      </c>
      <c r="BC102" s="13">
        <v>1</v>
      </c>
    </row>
    <row r="103" spans="1:55" x14ac:dyDescent="0.25">
      <c r="A103" s="7">
        <v>10</v>
      </c>
      <c r="B103" s="7" t="s">
        <v>123</v>
      </c>
      <c r="C103" s="7" t="s">
        <v>474</v>
      </c>
      <c r="D103" s="7" t="s">
        <v>217</v>
      </c>
      <c r="E103" s="17" t="s">
        <v>449</v>
      </c>
      <c r="F103" s="17" t="s">
        <v>219</v>
      </c>
      <c r="G103" s="13">
        <v>2283624</v>
      </c>
      <c r="H103" s="13">
        <v>2689</v>
      </c>
      <c r="I103" s="13">
        <v>25746</v>
      </c>
      <c r="J103" s="13">
        <v>1380810</v>
      </c>
      <c r="K103" s="13">
        <v>64519</v>
      </c>
      <c r="L103" s="13">
        <v>307124</v>
      </c>
      <c r="M103" s="13">
        <v>246487</v>
      </c>
      <c r="N103" s="13">
        <v>2224292</v>
      </c>
      <c r="O103" s="19">
        <v>7.0000000000000007E-2</v>
      </c>
      <c r="P103" s="13">
        <v>0</v>
      </c>
      <c r="Q103" s="21">
        <f>222429/2224292</f>
        <v>9.9999910083747992E-2</v>
      </c>
      <c r="R103" s="13">
        <v>222477</v>
      </c>
      <c r="S103" s="13">
        <v>0</v>
      </c>
      <c r="T103" s="13">
        <v>51877</v>
      </c>
      <c r="U103" s="13">
        <v>4253</v>
      </c>
      <c r="V103" s="13">
        <v>1941</v>
      </c>
      <c r="W103" s="13">
        <f>6300+1944</f>
        <v>8244</v>
      </c>
      <c r="X103" s="13">
        <v>992</v>
      </c>
      <c r="Y103" s="13">
        <v>6012</v>
      </c>
      <c r="Z103" s="13">
        <v>0</v>
      </c>
      <c r="AA103" s="13">
        <f>2856+4175+4455</f>
        <v>11486</v>
      </c>
      <c r="AB103" s="13">
        <v>2026</v>
      </c>
      <c r="AC103" s="13">
        <v>2740</v>
      </c>
      <c r="AD103" s="13">
        <v>5781</v>
      </c>
      <c r="AE103" s="13">
        <v>43857</v>
      </c>
      <c r="AF103" s="13">
        <v>108286</v>
      </c>
      <c r="AG103" s="19">
        <f t="shared" si="11"/>
        <v>0.4050108047208319</v>
      </c>
      <c r="AH103" s="13">
        <v>4338</v>
      </c>
      <c r="AI103" s="13">
        <v>111929</v>
      </c>
      <c r="AJ103" s="13">
        <v>0</v>
      </c>
      <c r="AK103" s="13">
        <v>10315</v>
      </c>
      <c r="AL103" s="13">
        <v>0</v>
      </c>
      <c r="AM103" s="13">
        <v>0</v>
      </c>
      <c r="AN103" s="13">
        <v>0</v>
      </c>
      <c r="AO103" s="13">
        <v>479</v>
      </c>
      <c r="AP103" s="13">
        <v>344</v>
      </c>
      <c r="AQ103" s="13">
        <v>-49</v>
      </c>
      <c r="AR103" s="13">
        <v>-24</v>
      </c>
      <c r="AS103" s="13">
        <v>-57</v>
      </c>
      <c r="AT103" s="13">
        <f>8-4</f>
        <v>4</v>
      </c>
      <c r="AU103" s="13">
        <f t="shared" si="12"/>
        <v>697</v>
      </c>
      <c r="AV103" s="13">
        <v>381</v>
      </c>
      <c r="AW103" s="13">
        <v>190</v>
      </c>
      <c r="AX103" s="13">
        <v>-18</v>
      </c>
      <c r="AY103" s="13">
        <v>-27</v>
      </c>
      <c r="AZ103" s="13">
        <v>-50</v>
      </c>
      <c r="BA103" s="13">
        <f>4-1</f>
        <v>3</v>
      </c>
      <c r="BB103" s="13">
        <f t="shared" si="13"/>
        <v>479</v>
      </c>
      <c r="BC103" s="13">
        <v>4</v>
      </c>
    </row>
    <row r="104" spans="1:55" x14ac:dyDescent="0.25">
      <c r="A104" s="7">
        <v>10</v>
      </c>
      <c r="B104" s="7" t="s">
        <v>181</v>
      </c>
      <c r="C104" s="7" t="s">
        <v>361</v>
      </c>
      <c r="D104" s="7" t="s">
        <v>215</v>
      </c>
      <c r="E104" s="17" t="s">
        <v>80</v>
      </c>
      <c r="F104" s="17" t="s">
        <v>216</v>
      </c>
      <c r="G104" s="13">
        <v>997914</v>
      </c>
      <c r="H104" s="13">
        <v>2734</v>
      </c>
      <c r="I104" s="13">
        <v>3215</v>
      </c>
      <c r="J104" s="13">
        <v>276566</v>
      </c>
      <c r="K104" s="13">
        <v>170544</v>
      </c>
      <c r="L104" s="13">
        <v>406479</v>
      </c>
      <c r="M104" s="13">
        <v>44734</v>
      </c>
      <c r="N104" s="13">
        <v>997079</v>
      </c>
      <c r="O104" s="19">
        <v>2.9499999999999998E-2</v>
      </c>
      <c r="P104" s="13">
        <v>0</v>
      </c>
      <c r="Q104" s="21">
        <f>99708/997079</f>
        <v>0.10000010029295572</v>
      </c>
      <c r="R104" s="13">
        <v>97921</v>
      </c>
      <c r="S104" s="13">
        <v>0</v>
      </c>
      <c r="T104" s="13">
        <v>22716</v>
      </c>
      <c r="U104" s="13">
        <v>1214</v>
      </c>
      <c r="V104" s="13">
        <v>0</v>
      </c>
      <c r="W104" s="13">
        <f>8500+1617</f>
        <v>10117</v>
      </c>
      <c r="X104" s="13">
        <v>0</v>
      </c>
      <c r="Y104" s="13">
        <v>1500</v>
      </c>
      <c r="Z104" s="13">
        <v>0</v>
      </c>
      <c r="AA104" s="13">
        <f>1437+3169+2199</f>
        <v>6805</v>
      </c>
      <c r="AB104" s="13">
        <v>276</v>
      </c>
      <c r="AC104" s="13">
        <v>0</v>
      </c>
      <c r="AD104" s="13">
        <v>0</v>
      </c>
      <c r="AE104" s="13">
        <v>21730</v>
      </c>
      <c r="AF104" s="13">
        <v>48100</v>
      </c>
      <c r="AG104" s="19">
        <f t="shared" si="11"/>
        <v>0.45176715176715176</v>
      </c>
      <c r="AH104" s="13">
        <v>0</v>
      </c>
      <c r="AI104" s="13">
        <v>51800</v>
      </c>
      <c r="AJ104" s="13">
        <v>2065</v>
      </c>
      <c r="AK104" s="13">
        <v>3030</v>
      </c>
      <c r="AL104" s="13">
        <v>0</v>
      </c>
      <c r="AM104" s="13">
        <v>0</v>
      </c>
      <c r="AN104" s="13">
        <v>0</v>
      </c>
      <c r="AO104" s="13">
        <v>330</v>
      </c>
      <c r="AP104" s="13">
        <v>166</v>
      </c>
      <c r="AQ104" s="13">
        <v>-25</v>
      </c>
      <c r="AR104" s="13">
        <v>-30</v>
      </c>
      <c r="AS104" s="13">
        <v>-65</v>
      </c>
      <c r="AT104" s="13">
        <f>9-1</f>
        <v>8</v>
      </c>
      <c r="AU104" s="13">
        <f t="shared" si="12"/>
        <v>384</v>
      </c>
      <c r="AV104" s="13">
        <v>311</v>
      </c>
      <c r="AW104" s="13">
        <v>134</v>
      </c>
      <c r="AX104" s="13">
        <v>-13</v>
      </c>
      <c r="AY104" s="13">
        <v>-28</v>
      </c>
      <c r="AZ104" s="13">
        <v>-78</v>
      </c>
      <c r="BA104" s="13">
        <v>4</v>
      </c>
      <c r="BB104" s="13">
        <f t="shared" si="13"/>
        <v>330</v>
      </c>
      <c r="BC104" s="13">
        <v>2</v>
      </c>
    </row>
    <row r="105" spans="1:55" x14ac:dyDescent="0.25">
      <c r="A105" s="7">
        <v>10</v>
      </c>
      <c r="B105" s="7" t="s">
        <v>184</v>
      </c>
      <c r="C105" s="7" t="s">
        <v>455</v>
      </c>
      <c r="D105" s="7" t="s">
        <v>215</v>
      </c>
      <c r="E105" s="17" t="s">
        <v>80</v>
      </c>
      <c r="F105" s="17" t="s">
        <v>216</v>
      </c>
      <c r="G105" s="13">
        <v>1625201</v>
      </c>
      <c r="H105" s="13">
        <v>2128</v>
      </c>
      <c r="I105" s="13">
        <v>65499</v>
      </c>
      <c r="J105" s="13">
        <v>342117</v>
      </c>
      <c r="K105" s="13">
        <v>270294</v>
      </c>
      <c r="L105" s="13">
        <v>692544</v>
      </c>
      <c r="M105" s="13">
        <v>66871</v>
      </c>
      <c r="N105" s="13">
        <v>1525453</v>
      </c>
      <c r="O105" s="19">
        <v>8.7900000000000006E-2</v>
      </c>
      <c r="P105" s="13">
        <v>0</v>
      </c>
      <c r="Q105" s="21">
        <f>151479/1524937</f>
        <v>9.9334595461976469E-2</v>
      </c>
      <c r="R105" s="13">
        <v>151872</v>
      </c>
      <c r="S105" s="13">
        <v>0</v>
      </c>
      <c r="T105" s="13">
        <v>30128</v>
      </c>
      <c r="U105" s="13">
        <v>2303</v>
      </c>
      <c r="V105" s="13">
        <v>4491</v>
      </c>
      <c r="W105" s="13">
        <f>4825+1224</f>
        <v>6049</v>
      </c>
      <c r="X105" s="13">
        <v>0</v>
      </c>
      <c r="Y105" s="13">
        <v>10809</v>
      </c>
      <c r="Z105" s="13">
        <v>25</v>
      </c>
      <c r="AA105" s="13">
        <f>1694+3796+1470</f>
        <v>6960</v>
      </c>
      <c r="AB105" s="13">
        <v>447</v>
      </c>
      <c r="AC105" s="13">
        <v>0</v>
      </c>
      <c r="AD105" s="13">
        <v>6244</v>
      </c>
      <c r="AE105" s="13">
        <v>36922</v>
      </c>
      <c r="AF105" s="13">
        <v>76021</v>
      </c>
      <c r="AG105" s="19">
        <f t="shared" si="11"/>
        <v>0.48568158798226807</v>
      </c>
      <c r="AH105" s="13">
        <v>8984</v>
      </c>
      <c r="AI105" s="13">
        <v>76371</v>
      </c>
      <c r="AJ105" s="13">
        <v>0</v>
      </c>
      <c r="AK105" s="13">
        <v>10769</v>
      </c>
      <c r="AL105" s="13">
        <v>0</v>
      </c>
      <c r="AM105" s="13">
        <v>0</v>
      </c>
      <c r="AN105" s="13">
        <v>0</v>
      </c>
      <c r="AO105" s="13">
        <v>359</v>
      </c>
      <c r="AP105" s="13">
        <v>181</v>
      </c>
      <c r="AQ105" s="13">
        <v>-43</v>
      </c>
      <c r="AR105" s="13">
        <v>-47</v>
      </c>
      <c r="AS105" s="13">
        <v>-84</v>
      </c>
      <c r="AT105" s="13">
        <f>14-41</f>
        <v>-27</v>
      </c>
      <c r="AU105" s="13">
        <f t="shared" si="12"/>
        <v>339</v>
      </c>
      <c r="AV105" s="13">
        <v>332</v>
      </c>
      <c r="AW105" s="13">
        <v>145</v>
      </c>
      <c r="AX105" s="13">
        <v>-6</v>
      </c>
      <c r="AY105" s="13">
        <v>-33</v>
      </c>
      <c r="AZ105" s="13">
        <v>-82</v>
      </c>
      <c r="BA105" s="13">
        <f>7-4</f>
        <v>3</v>
      </c>
      <c r="BB105" s="13">
        <f t="shared" si="13"/>
        <v>359</v>
      </c>
      <c r="BC105" s="13">
        <v>1</v>
      </c>
    </row>
    <row r="106" spans="1:55" x14ac:dyDescent="0.25">
      <c r="A106" s="7">
        <v>10</v>
      </c>
      <c r="B106" s="7" t="s">
        <v>232</v>
      </c>
      <c r="C106" s="7" t="s">
        <v>50</v>
      </c>
      <c r="D106" s="7" t="s">
        <v>215</v>
      </c>
      <c r="E106" s="17" t="s">
        <v>449</v>
      </c>
      <c r="F106" s="17" t="s">
        <v>216</v>
      </c>
      <c r="G106" s="13">
        <v>2804729</v>
      </c>
      <c r="H106" s="13">
        <v>6064</v>
      </c>
      <c r="I106" s="13">
        <v>43645</v>
      </c>
      <c r="J106" s="13">
        <v>1534159</v>
      </c>
      <c r="K106" s="13">
        <v>273259</v>
      </c>
      <c r="L106" s="13">
        <v>448630</v>
      </c>
      <c r="M106" s="13">
        <v>173778</v>
      </c>
      <c r="N106" s="13">
        <v>2673507</v>
      </c>
      <c r="O106" s="19">
        <v>5.8000000000000003E-2</v>
      </c>
      <c r="P106" s="13">
        <v>443788</v>
      </c>
      <c r="Q106" s="21">
        <f>220918/2209180</f>
        <v>0.1</v>
      </c>
      <c r="R106" s="13">
        <v>220941</v>
      </c>
      <c r="S106" s="13">
        <v>0</v>
      </c>
      <c r="T106" s="13">
        <v>50461</v>
      </c>
      <c r="U106" s="13">
        <v>4172</v>
      </c>
      <c r="V106" s="13">
        <v>0</v>
      </c>
      <c r="W106" s="13">
        <v>4771</v>
      </c>
      <c r="X106" s="13">
        <v>609</v>
      </c>
      <c r="Y106" s="13">
        <v>16818</v>
      </c>
      <c r="Z106" s="13">
        <v>0</v>
      </c>
      <c r="AA106" s="13">
        <f>2993+8876+5318</f>
        <v>17187</v>
      </c>
      <c r="AB106" s="13">
        <v>973</v>
      </c>
      <c r="AC106" s="13">
        <v>1040</v>
      </c>
      <c r="AD106" s="13">
        <v>13933</v>
      </c>
      <c r="AE106" s="13">
        <v>77928</v>
      </c>
      <c r="AF106" s="13">
        <v>120537</v>
      </c>
      <c r="AG106" s="19">
        <f t="shared" si="11"/>
        <v>0.64650688170437298</v>
      </c>
      <c r="AH106" s="13">
        <v>1141</v>
      </c>
      <c r="AI106" s="13">
        <v>107689</v>
      </c>
      <c r="AJ106" s="13">
        <v>0</v>
      </c>
      <c r="AK106" s="13">
        <v>20129</v>
      </c>
      <c r="AL106" s="13">
        <v>0</v>
      </c>
      <c r="AM106" s="13">
        <v>0</v>
      </c>
      <c r="AN106" s="13">
        <v>0</v>
      </c>
      <c r="AO106" s="13">
        <v>409</v>
      </c>
      <c r="AP106" s="13">
        <v>313</v>
      </c>
      <c r="AQ106" s="13">
        <v>-36</v>
      </c>
      <c r="AR106" s="13">
        <v>-54</v>
      </c>
      <c r="AS106" s="13">
        <v>-68</v>
      </c>
      <c r="AT106" s="13">
        <v>2</v>
      </c>
      <c r="AU106" s="13">
        <f t="shared" si="12"/>
        <v>566</v>
      </c>
      <c r="AV106" s="13">
        <v>395</v>
      </c>
      <c r="AW106" s="13">
        <v>155</v>
      </c>
      <c r="AX106" s="13">
        <v>-31</v>
      </c>
      <c r="AY106" s="13">
        <v>-49</v>
      </c>
      <c r="AZ106" s="13">
        <v>-62</v>
      </c>
      <c r="BA106" s="13">
        <v>1</v>
      </c>
      <c r="BB106" s="13">
        <f t="shared" si="13"/>
        <v>409</v>
      </c>
      <c r="BC106" s="13">
        <v>1</v>
      </c>
    </row>
    <row r="107" spans="1:55" x14ac:dyDescent="0.25">
      <c r="A107" s="7">
        <v>10</v>
      </c>
      <c r="B107" s="7" t="s">
        <v>278</v>
      </c>
      <c r="C107" s="7" t="s">
        <v>48</v>
      </c>
      <c r="D107" s="7" t="s">
        <v>215</v>
      </c>
      <c r="E107" s="17" t="s">
        <v>449</v>
      </c>
      <c r="F107" s="17" t="s">
        <v>216</v>
      </c>
      <c r="G107" s="13">
        <v>11937278</v>
      </c>
      <c r="H107" s="13">
        <v>41288</v>
      </c>
      <c r="I107" s="13">
        <v>295442</v>
      </c>
      <c r="J107" s="13">
        <v>7215756</v>
      </c>
      <c r="K107" s="13">
        <v>421544</v>
      </c>
      <c r="L107" s="13">
        <v>2018506</v>
      </c>
      <c r="M107" s="13">
        <v>939460</v>
      </c>
      <c r="N107" s="13">
        <v>11642975</v>
      </c>
      <c r="O107" s="19">
        <v>1.83E-2</v>
      </c>
      <c r="P107" s="13">
        <v>2898430</v>
      </c>
      <c r="Q107" s="21">
        <f>651950/8702516</f>
        <v>7.4915116501940354E-2</v>
      </c>
      <c r="R107" s="13">
        <v>594798</v>
      </c>
      <c r="S107" s="13">
        <v>0</v>
      </c>
      <c r="T107" s="13">
        <v>292797</v>
      </c>
      <c r="U107" s="13">
        <v>24452</v>
      </c>
      <c r="V107" s="13">
        <v>47948</v>
      </c>
      <c r="W107" s="13">
        <f>36099+4481</f>
        <v>40580</v>
      </c>
      <c r="X107" s="13">
        <v>8930</v>
      </c>
      <c r="Y107" s="13">
        <v>15384</v>
      </c>
      <c r="Z107" s="13">
        <v>0</v>
      </c>
      <c r="AA107" s="13">
        <f>8738+22636+12309</f>
        <v>43683</v>
      </c>
      <c r="AB107" s="13">
        <v>9345</v>
      </c>
      <c r="AC107" s="13">
        <v>35922</v>
      </c>
      <c r="AD107" s="13">
        <v>46933</v>
      </c>
      <c r="AE107" s="13">
        <v>36099</v>
      </c>
      <c r="AF107" s="13">
        <v>614176</v>
      </c>
      <c r="AG107" s="19">
        <f t="shared" si="11"/>
        <v>5.8776311676131926E-2</v>
      </c>
      <c r="AH107" s="13">
        <v>82155</v>
      </c>
      <c r="AI107" s="13">
        <v>124333</v>
      </c>
      <c r="AJ107" s="13">
        <v>0</v>
      </c>
      <c r="AK107" s="13">
        <v>83101</v>
      </c>
      <c r="AL107" s="13">
        <v>0</v>
      </c>
      <c r="AM107" s="13">
        <v>0</v>
      </c>
      <c r="AN107" s="13">
        <v>0</v>
      </c>
      <c r="AO107" s="13">
        <v>2117</v>
      </c>
      <c r="AP107" s="13">
        <v>1253</v>
      </c>
      <c r="AQ107" s="13">
        <v>-180</v>
      </c>
      <c r="AR107" s="13">
        <v>-527</v>
      </c>
      <c r="AS107" s="13">
        <v>-425</v>
      </c>
      <c r="AT107" s="13">
        <v>8</v>
      </c>
      <c r="AU107" s="13">
        <f t="shared" si="12"/>
        <v>2246</v>
      </c>
      <c r="AV107" s="13">
        <v>2013</v>
      </c>
      <c r="AW107" s="13">
        <v>1020</v>
      </c>
      <c r="AX107" s="13">
        <v>-133</v>
      </c>
      <c r="AY107" s="13">
        <v>-415</v>
      </c>
      <c r="AZ107" s="13">
        <v>-373</v>
      </c>
      <c r="BA107" s="13">
        <v>5</v>
      </c>
      <c r="BB107" s="13">
        <f t="shared" si="13"/>
        <v>2117</v>
      </c>
      <c r="BC107" s="13">
        <v>34</v>
      </c>
    </row>
    <row r="108" spans="1:55" x14ac:dyDescent="0.25">
      <c r="A108" s="7">
        <v>10</v>
      </c>
      <c r="B108" s="7" t="s">
        <v>295</v>
      </c>
      <c r="C108" s="7" t="s">
        <v>288</v>
      </c>
      <c r="D108" s="7" t="s">
        <v>217</v>
      </c>
      <c r="E108" s="17" t="s">
        <v>331</v>
      </c>
      <c r="F108" s="17" t="s">
        <v>219</v>
      </c>
      <c r="G108" s="13">
        <v>4304708</v>
      </c>
      <c r="H108" s="13">
        <v>7278</v>
      </c>
      <c r="I108" s="13">
        <v>167663</v>
      </c>
      <c r="J108" s="13">
        <v>2947916</v>
      </c>
      <c r="K108" s="13">
        <v>197336</v>
      </c>
      <c r="L108" s="13">
        <v>441318</v>
      </c>
      <c r="M108" s="13">
        <v>261427</v>
      </c>
      <c r="N108" s="13">
        <v>4155615</v>
      </c>
      <c r="O108" s="19">
        <v>0.08</v>
      </c>
      <c r="P108" s="13">
        <v>1127320</v>
      </c>
      <c r="Q108" s="21">
        <f>297184/3027869</f>
        <v>9.8149556668402763E-2</v>
      </c>
      <c r="R108" s="13">
        <v>293854</v>
      </c>
      <c r="S108" s="13">
        <v>0</v>
      </c>
      <c r="T108" s="13">
        <v>89833</v>
      </c>
      <c r="U108" s="13">
        <v>7625</v>
      </c>
      <c r="V108" s="13">
        <v>9310</v>
      </c>
      <c r="W108" s="13">
        <f>10138+2654</f>
        <v>12792</v>
      </c>
      <c r="X108" s="13">
        <v>0</v>
      </c>
      <c r="Y108" s="13">
        <v>3820</v>
      </c>
      <c r="Z108" s="13">
        <v>822</v>
      </c>
      <c r="AA108" s="13">
        <f>3579+8850+7974</f>
        <v>20403</v>
      </c>
      <c r="AB108" s="13">
        <v>0</v>
      </c>
      <c r="AC108" s="13">
        <v>4182</v>
      </c>
      <c r="AD108" s="13">
        <v>9692</v>
      </c>
      <c r="AE108" s="13">
        <v>49998</v>
      </c>
      <c r="AF108" s="13">
        <v>175031</v>
      </c>
      <c r="AG108" s="19">
        <f t="shared" ref="AG108:AG139" si="14">AE108/AF108</f>
        <v>0.28565225588610016</v>
      </c>
      <c r="AH108" s="13">
        <v>23724</v>
      </c>
      <c r="AI108" s="13">
        <v>124333</v>
      </c>
      <c r="AJ108" s="13">
        <v>0</v>
      </c>
      <c r="AK108" s="13">
        <v>25281</v>
      </c>
      <c r="AL108" s="13">
        <v>0</v>
      </c>
      <c r="AM108" s="13">
        <v>0</v>
      </c>
      <c r="AN108" s="13">
        <v>0</v>
      </c>
      <c r="AO108" s="13">
        <v>732</v>
      </c>
      <c r="AP108" s="13">
        <v>269</v>
      </c>
      <c r="AQ108" s="13">
        <v>-52</v>
      </c>
      <c r="AR108" s="13">
        <v>-124</v>
      </c>
      <c r="AS108" s="13">
        <v>-133</v>
      </c>
      <c r="AT108" s="13">
        <f>1+18-1</f>
        <v>18</v>
      </c>
      <c r="AU108" s="13">
        <f t="shared" ref="AU108:AU139" si="15">SUM(AO108:AT108)</f>
        <v>710</v>
      </c>
      <c r="AV108" s="13">
        <v>687</v>
      </c>
      <c r="AW108" s="13">
        <v>280</v>
      </c>
      <c r="AX108" s="13">
        <v>-41</v>
      </c>
      <c r="AY108" s="13">
        <v>-95</v>
      </c>
      <c r="AZ108" s="13">
        <v>-113</v>
      </c>
      <c r="BA108" s="13">
        <f>16-2</f>
        <v>14</v>
      </c>
      <c r="BB108" s="13">
        <f t="shared" si="13"/>
        <v>732</v>
      </c>
      <c r="BC108" s="13">
        <v>4</v>
      </c>
    </row>
    <row r="109" spans="1:55" x14ac:dyDescent="0.25">
      <c r="A109" s="7">
        <v>10</v>
      </c>
      <c r="B109" s="7" t="s">
        <v>306</v>
      </c>
      <c r="C109" s="7" t="s">
        <v>155</v>
      </c>
      <c r="D109" s="7" t="s">
        <v>217</v>
      </c>
      <c r="E109" s="17" t="s">
        <v>449</v>
      </c>
      <c r="F109" s="17" t="s">
        <v>219</v>
      </c>
      <c r="G109" s="13">
        <v>1777143</v>
      </c>
      <c r="H109" s="13">
        <v>3850</v>
      </c>
      <c r="I109" s="13">
        <v>23905</v>
      </c>
      <c r="J109" s="13">
        <v>911619</v>
      </c>
      <c r="K109" s="13">
        <v>82935</v>
      </c>
      <c r="L109" s="13">
        <v>317044</v>
      </c>
      <c r="M109" s="13">
        <v>154490</v>
      </c>
      <c r="N109" s="13">
        <v>1634507</v>
      </c>
      <c r="O109" s="19">
        <v>0.124</v>
      </c>
      <c r="P109" s="13">
        <v>0</v>
      </c>
      <c r="Q109" s="21">
        <f>141198/1411982</f>
        <v>9.9999858355134835E-2</v>
      </c>
      <c r="R109" s="13">
        <v>141198</v>
      </c>
      <c r="S109" s="13">
        <v>0</v>
      </c>
      <c r="T109" s="13">
        <v>28703</v>
      </c>
      <c r="U109" s="13">
        <v>2908</v>
      </c>
      <c r="V109" s="13">
        <v>2139</v>
      </c>
      <c r="W109" s="13">
        <f>4078+592</f>
        <v>4670</v>
      </c>
      <c r="X109" s="13">
        <v>2010</v>
      </c>
      <c r="Y109" s="13">
        <v>3000</v>
      </c>
      <c r="Z109" s="13">
        <v>720</v>
      </c>
      <c r="AA109" s="13">
        <f>1983+2809+3512</f>
        <v>8304</v>
      </c>
      <c r="AB109" s="13">
        <v>3439</v>
      </c>
      <c r="AC109" s="13">
        <v>1690</v>
      </c>
      <c r="AD109" s="13">
        <v>9326</v>
      </c>
      <c r="AE109" s="13">
        <v>10064</v>
      </c>
      <c r="AF109" s="13">
        <v>77597</v>
      </c>
      <c r="AG109" s="19">
        <f t="shared" si="14"/>
        <v>0.12969573565988377</v>
      </c>
      <c r="AH109" s="13">
        <v>0</v>
      </c>
      <c r="AI109" s="13">
        <v>68838</v>
      </c>
      <c r="AJ109" s="13">
        <v>0</v>
      </c>
      <c r="AK109" s="13">
        <v>0</v>
      </c>
      <c r="AL109" s="13">
        <v>0</v>
      </c>
      <c r="AM109" s="13">
        <v>0</v>
      </c>
      <c r="AN109" s="13">
        <v>0</v>
      </c>
      <c r="AO109" s="13">
        <v>326</v>
      </c>
      <c r="AP109" s="13">
        <v>186</v>
      </c>
      <c r="AQ109" s="13">
        <v>-15</v>
      </c>
      <c r="AR109" s="13">
        <v>-17</v>
      </c>
      <c r="AS109" s="13">
        <v>-16</v>
      </c>
      <c r="AT109" s="13">
        <v>-1</v>
      </c>
      <c r="AU109" s="13">
        <f t="shared" si="15"/>
        <v>463</v>
      </c>
      <c r="AV109" s="13">
        <v>232</v>
      </c>
      <c r="AW109" s="13">
        <v>126</v>
      </c>
      <c r="AX109" s="13">
        <v>-13</v>
      </c>
      <c r="AY109" s="13">
        <v>-7</v>
      </c>
      <c r="AZ109" s="13">
        <v>-13</v>
      </c>
      <c r="BA109" s="13">
        <v>1</v>
      </c>
      <c r="BB109" s="13">
        <f t="shared" si="13"/>
        <v>326</v>
      </c>
      <c r="BC109" s="13">
        <v>12</v>
      </c>
    </row>
    <row r="110" spans="1:55" x14ac:dyDescent="0.25">
      <c r="A110" s="7">
        <v>10</v>
      </c>
      <c r="B110" s="7" t="s">
        <v>412</v>
      </c>
      <c r="C110" s="7" t="s">
        <v>246</v>
      </c>
      <c r="D110" s="7" t="s">
        <v>217</v>
      </c>
      <c r="E110" s="17" t="s">
        <v>331</v>
      </c>
      <c r="F110" s="17" t="s">
        <v>219</v>
      </c>
      <c r="G110" s="13">
        <v>1010634</v>
      </c>
      <c r="H110" s="13">
        <v>1873</v>
      </c>
      <c r="I110" s="13">
        <v>12865</v>
      </c>
      <c r="J110" s="13">
        <v>485478</v>
      </c>
      <c r="K110" s="13">
        <v>73011</v>
      </c>
      <c r="L110" s="13">
        <v>269975</v>
      </c>
      <c r="M110" s="13">
        <v>58930</v>
      </c>
      <c r="N110" s="13">
        <v>989472</v>
      </c>
      <c r="O110" s="19">
        <v>0.15</v>
      </c>
      <c r="P110" s="13">
        <v>0</v>
      </c>
      <c r="Q110" s="21">
        <f>96087/985510</f>
        <v>9.7499771691814396E-2</v>
      </c>
      <c r="R110" s="13">
        <v>97815</v>
      </c>
      <c r="S110" s="13">
        <v>40638</v>
      </c>
      <c r="T110" s="13">
        <v>24000</v>
      </c>
      <c r="U110" s="13">
        <v>0</v>
      </c>
      <c r="V110" s="13">
        <v>0</v>
      </c>
      <c r="W110" s="13">
        <f>6000+805</f>
        <v>6805</v>
      </c>
      <c r="X110" s="13">
        <v>0</v>
      </c>
      <c r="Y110" s="13">
        <v>1324</v>
      </c>
      <c r="Z110" s="13">
        <v>0</v>
      </c>
      <c r="AA110" s="13">
        <f>798+3484+1841</f>
        <v>6123</v>
      </c>
      <c r="AB110" s="13">
        <v>0</v>
      </c>
      <c r="AC110" s="13">
        <v>3008</v>
      </c>
      <c r="AD110" s="13">
        <v>3200</v>
      </c>
      <c r="AE110" s="13">
        <v>30208</v>
      </c>
      <c r="AF110" s="13">
        <v>52642</v>
      </c>
      <c r="AG110" s="19">
        <f t="shared" si="14"/>
        <v>0.57383838000075982</v>
      </c>
      <c r="AH110" s="13">
        <v>4296</v>
      </c>
      <c r="AI110" s="13">
        <v>52000</v>
      </c>
      <c r="AJ110" s="13">
        <v>80</v>
      </c>
      <c r="AK110" s="13">
        <v>4662</v>
      </c>
      <c r="AL110" s="13">
        <v>0</v>
      </c>
      <c r="AM110" s="13">
        <v>0</v>
      </c>
      <c r="AN110" s="13">
        <v>5600</v>
      </c>
      <c r="AO110" s="13">
        <v>202</v>
      </c>
      <c r="AP110" s="13">
        <v>102</v>
      </c>
      <c r="AQ110" s="13">
        <v>-11</v>
      </c>
      <c r="AR110" s="13">
        <v>-20</v>
      </c>
      <c r="AS110" s="13">
        <v>-47</v>
      </c>
      <c r="AT110" s="13">
        <v>-2</v>
      </c>
      <c r="AU110" s="13">
        <f t="shared" si="15"/>
        <v>224</v>
      </c>
      <c r="AV110" s="13">
        <v>205</v>
      </c>
      <c r="AW110" s="13">
        <v>77</v>
      </c>
      <c r="AX110" s="13">
        <v>-20</v>
      </c>
      <c r="AY110" s="13">
        <v>-17</v>
      </c>
      <c r="AZ110" s="13">
        <v>-43</v>
      </c>
      <c r="BA110" s="13"/>
      <c r="BB110" s="13">
        <f t="shared" si="13"/>
        <v>202</v>
      </c>
      <c r="BC110" s="13">
        <v>2</v>
      </c>
    </row>
    <row r="111" spans="1:55" x14ac:dyDescent="0.25">
      <c r="A111" s="7">
        <v>11</v>
      </c>
      <c r="B111" s="7" t="s">
        <v>86</v>
      </c>
      <c r="C111" s="7" t="s">
        <v>269</v>
      </c>
      <c r="D111" s="7" t="s">
        <v>516</v>
      </c>
      <c r="E111" s="17" t="s">
        <v>512</v>
      </c>
      <c r="F111" s="17" t="s">
        <v>524</v>
      </c>
      <c r="G111" s="13">
        <v>3509090</v>
      </c>
      <c r="H111" s="13">
        <v>8685</v>
      </c>
      <c r="I111" s="13">
        <v>123455</v>
      </c>
      <c r="J111" s="13">
        <v>1949237</v>
      </c>
      <c r="K111" s="13">
        <v>384317</v>
      </c>
      <c r="L111" s="13">
        <v>456649</v>
      </c>
      <c r="M111" s="13">
        <v>232282</v>
      </c>
      <c r="N111" s="13">
        <v>3391840</v>
      </c>
      <c r="O111" s="19">
        <v>3.1E-2</v>
      </c>
      <c r="P111" s="13">
        <v>0</v>
      </c>
      <c r="Q111" s="21">
        <f>339130/3391301</f>
        <v>9.99999705127914E-2</v>
      </c>
      <c r="R111" s="13">
        <v>329130</v>
      </c>
      <c r="S111" s="13">
        <v>0</v>
      </c>
      <c r="T111" s="13">
        <v>103332</v>
      </c>
      <c r="U111" s="13">
        <v>9460</v>
      </c>
      <c r="V111" s="13">
        <v>21871</v>
      </c>
      <c r="W111" s="13">
        <f>12766+2974</f>
        <v>15740</v>
      </c>
      <c r="X111" s="13">
        <v>1026</v>
      </c>
      <c r="Y111" s="13">
        <v>7949</v>
      </c>
      <c r="Z111" s="13">
        <v>328</v>
      </c>
      <c r="AA111" s="13">
        <f>2153+8001+4338</f>
        <v>14492</v>
      </c>
      <c r="AB111" s="13">
        <v>1816</v>
      </c>
      <c r="AC111" s="13">
        <v>12480</v>
      </c>
      <c r="AD111" s="13">
        <v>0</v>
      </c>
      <c r="AE111" s="13">
        <v>196679</v>
      </c>
      <c r="AF111" s="13">
        <v>224741</v>
      </c>
      <c r="AG111" s="19">
        <f t="shared" si="14"/>
        <v>0.87513626797068622</v>
      </c>
      <c r="AH111" s="13">
        <v>19497</v>
      </c>
      <c r="AI111" s="13">
        <v>124333</v>
      </c>
      <c r="AJ111" s="13">
        <v>0</v>
      </c>
      <c r="AK111" s="13">
        <v>19495</v>
      </c>
      <c r="AL111" s="13">
        <v>0</v>
      </c>
      <c r="AM111" s="13">
        <v>0</v>
      </c>
      <c r="AN111" s="13">
        <v>0</v>
      </c>
      <c r="AO111" s="13">
        <v>853</v>
      </c>
      <c r="AP111" s="13">
        <v>565</v>
      </c>
      <c r="AQ111" s="13">
        <v>-63</v>
      </c>
      <c r="AR111" s="13">
        <v>-266</v>
      </c>
      <c r="AS111" s="13">
        <v>-165</v>
      </c>
      <c r="AT111" s="13">
        <f>33+2</f>
        <v>35</v>
      </c>
      <c r="AU111" s="13">
        <f t="shared" si="15"/>
        <v>959</v>
      </c>
      <c r="AV111" s="13">
        <v>852</v>
      </c>
      <c r="AW111" s="13">
        <v>471</v>
      </c>
      <c r="AX111" s="13">
        <v>-50</v>
      </c>
      <c r="AY111" s="13">
        <v>-271</v>
      </c>
      <c r="AZ111" s="13">
        <v>-149</v>
      </c>
      <c r="BA111" s="13"/>
      <c r="BB111" s="13">
        <f t="shared" si="13"/>
        <v>853</v>
      </c>
      <c r="BC111" s="13">
        <v>0</v>
      </c>
    </row>
    <row r="112" spans="1:55" x14ac:dyDescent="0.25">
      <c r="A112" s="7">
        <v>11</v>
      </c>
      <c r="B112" s="7" t="s">
        <v>227</v>
      </c>
      <c r="C112" s="7" t="s">
        <v>292</v>
      </c>
      <c r="D112" s="7" t="s">
        <v>516</v>
      </c>
      <c r="E112" s="17" t="s">
        <v>143</v>
      </c>
      <c r="F112" s="17" t="s">
        <v>524</v>
      </c>
      <c r="G112" s="13">
        <v>9448135</v>
      </c>
      <c r="H112" s="13">
        <v>29522</v>
      </c>
      <c r="I112" s="13">
        <v>208714</v>
      </c>
      <c r="J112" s="13">
        <v>4415309</v>
      </c>
      <c r="K112" s="13">
        <v>1464178</v>
      </c>
      <c r="L112" s="13">
        <v>2057918</v>
      </c>
      <c r="M112" s="13">
        <v>678599</v>
      </c>
      <c r="N112" s="13">
        <v>9195624</v>
      </c>
      <c r="O112" s="19">
        <v>3.6200000000000003E-2</v>
      </c>
      <c r="P112" s="13">
        <v>0</v>
      </c>
      <c r="Q112" s="21">
        <f>551670/9194493</f>
        <v>6.0000045679517076E-2</v>
      </c>
      <c r="R112" s="13">
        <v>551670</v>
      </c>
      <c r="S112" s="13">
        <v>0</v>
      </c>
      <c r="T112" s="13">
        <v>207501</v>
      </c>
      <c r="U112" s="13">
        <v>16782</v>
      </c>
      <c r="V112" s="13">
        <v>33969</v>
      </c>
      <c r="W112" s="13">
        <f>23866+2056</f>
        <v>25922</v>
      </c>
      <c r="X112" s="13">
        <v>0</v>
      </c>
      <c r="Y112" s="13">
        <v>20536</v>
      </c>
      <c r="Z112" s="13">
        <v>148</v>
      </c>
      <c r="AA112" s="13">
        <f>4897+20089+14413</f>
        <v>39399</v>
      </c>
      <c r="AB112" s="13">
        <v>2955</v>
      </c>
      <c r="AC112" s="13">
        <v>878</v>
      </c>
      <c r="AD112" s="13">
        <v>53000</v>
      </c>
      <c r="AE112" s="13">
        <v>0</v>
      </c>
      <c r="AF112" s="13">
        <v>460478</v>
      </c>
      <c r="AG112" s="19">
        <f t="shared" si="14"/>
        <v>0</v>
      </c>
      <c r="AH112" s="13">
        <v>47243</v>
      </c>
      <c r="AI112" s="13">
        <v>124333</v>
      </c>
      <c r="AJ112" s="13">
        <v>0</v>
      </c>
      <c r="AK112" s="13">
        <v>45418</v>
      </c>
      <c r="AL112" s="13">
        <v>0</v>
      </c>
      <c r="AM112" s="13">
        <v>0</v>
      </c>
      <c r="AN112" s="13">
        <v>0</v>
      </c>
      <c r="AO112" s="13">
        <v>2429</v>
      </c>
      <c r="AP112" s="13">
        <v>1370</v>
      </c>
      <c r="AQ112" s="13">
        <v>-192</v>
      </c>
      <c r="AR112" s="13">
        <v>-424</v>
      </c>
      <c r="AS112" s="13">
        <v>-309</v>
      </c>
      <c r="AT112" s="13"/>
      <c r="AU112" s="13">
        <f t="shared" si="15"/>
        <v>2874</v>
      </c>
      <c r="AV112" s="13">
        <v>1990</v>
      </c>
      <c r="AW112" s="13">
        <v>1169</v>
      </c>
      <c r="AX112" s="13">
        <v>-131</v>
      </c>
      <c r="AY112" s="13">
        <v>-265</v>
      </c>
      <c r="AZ112" s="13">
        <v>-333</v>
      </c>
      <c r="BA112" s="13">
        <v>-1</v>
      </c>
      <c r="BB112" s="13">
        <f t="shared" si="13"/>
        <v>2429</v>
      </c>
      <c r="BC112" s="13">
        <v>8</v>
      </c>
    </row>
    <row r="113" spans="1:55" x14ac:dyDescent="0.25">
      <c r="A113" s="7">
        <v>11</v>
      </c>
      <c r="B113" s="7" t="s">
        <v>236</v>
      </c>
      <c r="C113" s="7" t="s">
        <v>355</v>
      </c>
      <c r="D113" s="7" t="s">
        <v>516</v>
      </c>
      <c r="E113" s="17" t="s">
        <v>143</v>
      </c>
      <c r="F113" s="17" t="s">
        <v>524</v>
      </c>
      <c r="G113" s="13">
        <v>3105879</v>
      </c>
      <c r="H113" s="13">
        <v>2453</v>
      </c>
      <c r="I113" s="13">
        <v>118069</v>
      </c>
      <c r="J113" s="13">
        <v>1639505</v>
      </c>
      <c r="K113" s="13">
        <v>312423</v>
      </c>
      <c r="L113" s="13">
        <v>487362</v>
      </c>
      <c r="M113" s="13">
        <v>213521</v>
      </c>
      <c r="N113" s="13">
        <v>2907071</v>
      </c>
      <c r="O113" s="19">
        <v>6.5000000000000002E-2</v>
      </c>
      <c r="P113" s="13">
        <v>0</v>
      </c>
      <c r="Q113" s="21">
        <f>250425/2904611</f>
        <v>8.621636425669392E-2</v>
      </c>
      <c r="R113" s="13">
        <v>250442</v>
      </c>
      <c r="S113" s="13">
        <v>0</v>
      </c>
      <c r="T113" s="13">
        <v>66642</v>
      </c>
      <c r="U113" s="13">
        <v>5304</v>
      </c>
      <c r="V113" s="13">
        <v>7346</v>
      </c>
      <c r="W113" s="13">
        <v>4200</v>
      </c>
      <c r="X113" s="13">
        <v>0</v>
      </c>
      <c r="Y113" s="13">
        <v>5859</v>
      </c>
      <c r="Z113" s="13">
        <v>0</v>
      </c>
      <c r="AA113" s="13">
        <f>3213+11554+5186</f>
        <v>19953</v>
      </c>
      <c r="AB113" s="13">
        <v>3670</v>
      </c>
      <c r="AC113" s="13">
        <v>600</v>
      </c>
      <c r="AD113" s="13">
        <v>1062</v>
      </c>
      <c r="AE113" s="13">
        <v>26871</v>
      </c>
      <c r="AF113" s="13">
        <v>133446</v>
      </c>
      <c r="AG113" s="19">
        <f t="shared" si="14"/>
        <v>0.20136234881525111</v>
      </c>
      <c r="AH113" s="13">
        <v>16965</v>
      </c>
      <c r="AI113" s="13">
        <v>124333</v>
      </c>
      <c r="AJ113" s="13">
        <v>0</v>
      </c>
      <c r="AK113" s="13">
        <v>20855</v>
      </c>
      <c r="AL113" s="13">
        <v>0</v>
      </c>
      <c r="AM113" s="13">
        <v>0</v>
      </c>
      <c r="AN113" s="13">
        <v>0</v>
      </c>
      <c r="AO113" s="13">
        <v>652</v>
      </c>
      <c r="AP113" s="13">
        <v>546</v>
      </c>
      <c r="AQ113" s="13">
        <v>-82</v>
      </c>
      <c r="AR113" s="13">
        <v>-157</v>
      </c>
      <c r="AS113" s="13">
        <v>-101</v>
      </c>
      <c r="AT113" s="13">
        <f>1+1-4</f>
        <v>-2</v>
      </c>
      <c r="AU113" s="13">
        <f t="shared" si="15"/>
        <v>856</v>
      </c>
      <c r="AV113" s="13">
        <v>599</v>
      </c>
      <c r="AW113" s="13">
        <v>337</v>
      </c>
      <c r="AX113" s="13">
        <v>-61</v>
      </c>
      <c r="AY113" s="13">
        <v>-125</v>
      </c>
      <c r="AZ113" s="13">
        <v>-102</v>
      </c>
      <c r="BA113" s="13">
        <v>4</v>
      </c>
      <c r="BB113" s="13">
        <f t="shared" si="13"/>
        <v>652</v>
      </c>
      <c r="BC113" s="13">
        <v>3</v>
      </c>
    </row>
    <row r="114" spans="1:55" x14ac:dyDescent="0.25">
      <c r="A114" s="7">
        <v>11</v>
      </c>
      <c r="B114" s="7" t="s">
        <v>275</v>
      </c>
      <c r="C114" s="7" t="s">
        <v>88</v>
      </c>
      <c r="D114" s="7" t="s">
        <v>215</v>
      </c>
      <c r="E114" s="17" t="s">
        <v>331</v>
      </c>
      <c r="F114" s="17" t="s">
        <v>216</v>
      </c>
      <c r="G114" s="13">
        <v>32047785</v>
      </c>
      <c r="H114" s="13">
        <v>46798</v>
      </c>
      <c r="I114" s="13">
        <v>1339392</v>
      </c>
      <c r="J114" s="13">
        <v>18305534</v>
      </c>
      <c r="K114" s="13">
        <v>1435168</v>
      </c>
      <c r="L114" s="13">
        <v>7112034</v>
      </c>
      <c r="M114" s="13">
        <v>2078549</v>
      </c>
      <c r="N114" s="13">
        <v>30764142</v>
      </c>
      <c r="O114" s="19">
        <v>0.09</v>
      </c>
      <c r="P114" s="13">
        <v>0</v>
      </c>
      <c r="Q114" s="21">
        <f>1847440/30790669</f>
        <v>5.9999995453167969E-2</v>
      </c>
      <c r="R114" s="13">
        <v>1832857</v>
      </c>
      <c r="S114" s="13">
        <v>0</v>
      </c>
      <c r="T114" s="13">
        <v>865879</v>
      </c>
      <c r="U114" s="13">
        <v>69660</v>
      </c>
      <c r="V114" s="13">
        <v>117879</v>
      </c>
      <c r="W114" s="13">
        <f>393053+17597</f>
        <v>410650</v>
      </c>
      <c r="X114" s="13">
        <v>0</v>
      </c>
      <c r="Y114" s="13">
        <v>83699</v>
      </c>
      <c r="Z114" s="13">
        <v>250</v>
      </c>
      <c r="AA114" s="13">
        <f>20934+60000+47867</f>
        <v>128801</v>
      </c>
      <c r="AB114" s="13">
        <v>4325</v>
      </c>
      <c r="AC114" s="13">
        <v>0</v>
      </c>
      <c r="AD114" s="13">
        <v>3257</v>
      </c>
      <c r="AE114" s="13">
        <v>141047</v>
      </c>
      <c r="AF114" s="13">
        <v>1788394</v>
      </c>
      <c r="AG114" s="19">
        <f t="shared" si="14"/>
        <v>7.8867967573141046E-2</v>
      </c>
      <c r="AH114" s="13">
        <v>270775</v>
      </c>
      <c r="AI114" s="13">
        <v>124333</v>
      </c>
      <c r="AJ114" s="13">
        <v>0</v>
      </c>
      <c r="AK114" s="13">
        <v>238031</v>
      </c>
      <c r="AL114" s="13">
        <v>0</v>
      </c>
      <c r="AM114" s="13">
        <v>0</v>
      </c>
      <c r="AN114" s="13">
        <v>0</v>
      </c>
      <c r="AO114" s="13">
        <v>6700</v>
      </c>
      <c r="AP114" s="13">
        <v>4016</v>
      </c>
      <c r="AQ114" s="13">
        <v>-399</v>
      </c>
      <c r="AR114" s="13">
        <v>-1933</v>
      </c>
      <c r="AS114" s="13">
        <v>-1292</v>
      </c>
      <c r="AT114" s="13"/>
      <c r="AU114" s="13">
        <f t="shared" si="15"/>
        <v>7092</v>
      </c>
      <c r="AV114" s="13">
        <v>7040</v>
      </c>
      <c r="AW114" s="13">
        <v>3137</v>
      </c>
      <c r="AX114" s="13">
        <v>-344</v>
      </c>
      <c r="AY114" s="13">
        <v>-1813</v>
      </c>
      <c r="AZ114" s="13">
        <v>-1320</v>
      </c>
      <c r="BA114" s="13"/>
      <c r="BB114" s="13">
        <f t="shared" si="13"/>
        <v>6700</v>
      </c>
      <c r="BC114" s="13">
        <v>41</v>
      </c>
    </row>
    <row r="115" spans="1:55" x14ac:dyDescent="0.25">
      <c r="A115" s="7">
        <v>11</v>
      </c>
      <c r="B115" s="7" t="s">
        <v>284</v>
      </c>
      <c r="C115" s="7" t="s">
        <v>263</v>
      </c>
      <c r="D115" s="7" t="s">
        <v>215</v>
      </c>
      <c r="E115" s="17" t="s">
        <v>331</v>
      </c>
      <c r="F115" s="17" t="s">
        <v>216</v>
      </c>
      <c r="G115" s="13">
        <v>6141617</v>
      </c>
      <c r="H115" s="13">
        <v>33374</v>
      </c>
      <c r="I115" s="13">
        <v>89931</v>
      </c>
      <c r="J115" s="13">
        <v>2648509</v>
      </c>
      <c r="K115" s="13">
        <v>468528</v>
      </c>
      <c r="L115" s="13">
        <v>1773610</v>
      </c>
      <c r="M115" s="13">
        <v>495598</v>
      </c>
      <c r="N115" s="13">
        <v>5945511</v>
      </c>
      <c r="O115" s="19">
        <v>0.05</v>
      </c>
      <c r="P115" s="13">
        <v>0</v>
      </c>
      <c r="Q115" s="21">
        <f>505777/5945511</f>
        <v>8.5068718231284077E-2</v>
      </c>
      <c r="R115" s="13">
        <v>489712</v>
      </c>
      <c r="S115" s="13">
        <v>0</v>
      </c>
      <c r="T115" s="13">
        <v>122970</v>
      </c>
      <c r="U115" s="13">
        <v>13671</v>
      </c>
      <c r="V115" s="13">
        <v>6590</v>
      </c>
      <c r="W115" s="13">
        <f>18686+4117</f>
        <v>22803</v>
      </c>
      <c r="X115" s="13">
        <v>10069</v>
      </c>
      <c r="Y115" s="13">
        <v>56955</v>
      </c>
      <c r="Z115" s="13">
        <v>13407</v>
      </c>
      <c r="AA115" s="13">
        <f>5145+35439+33608</f>
        <v>74192</v>
      </c>
      <c r="AB115" s="13">
        <v>769</v>
      </c>
      <c r="AC115" s="13">
        <v>21065</v>
      </c>
      <c r="AD115" s="13">
        <v>47805</v>
      </c>
      <c r="AE115" s="13">
        <v>0</v>
      </c>
      <c r="AF115" s="13">
        <v>410811</v>
      </c>
      <c r="AG115" s="19">
        <f t="shared" si="14"/>
        <v>0</v>
      </c>
      <c r="AH115" s="13">
        <v>53149</v>
      </c>
      <c r="AI115" s="13">
        <v>124333</v>
      </c>
      <c r="AJ115" s="13">
        <v>0</v>
      </c>
      <c r="AK115" s="13">
        <v>42995</v>
      </c>
      <c r="AL115" s="13">
        <v>0</v>
      </c>
      <c r="AM115" s="13">
        <v>0</v>
      </c>
      <c r="AN115" s="13">
        <v>0</v>
      </c>
      <c r="AO115" s="13">
        <v>1784</v>
      </c>
      <c r="AP115" s="13">
        <v>878</v>
      </c>
      <c r="AQ115" s="13">
        <v>-110</v>
      </c>
      <c r="AR115" s="13">
        <v>-312</v>
      </c>
      <c r="AS115" s="13">
        <v>-441</v>
      </c>
      <c r="AT115" s="13"/>
      <c r="AU115" s="13">
        <f t="shared" si="15"/>
        <v>1799</v>
      </c>
      <c r="AV115" s="13">
        <v>1921</v>
      </c>
      <c r="AW115" s="13">
        <v>683</v>
      </c>
      <c r="AX115" s="13">
        <v>-88</v>
      </c>
      <c r="AY115" s="13">
        <v>-293</v>
      </c>
      <c r="AZ115" s="13">
        <v>-439</v>
      </c>
      <c r="BA115" s="13"/>
      <c r="BB115" s="13">
        <f t="shared" ref="BB115:BB146" si="16">SUM(AV115:BA115)</f>
        <v>1784</v>
      </c>
      <c r="BC115" s="13">
        <v>66</v>
      </c>
    </row>
    <row r="116" spans="1:55" x14ac:dyDescent="0.25">
      <c r="A116" s="7">
        <v>11</v>
      </c>
      <c r="B116" s="7" t="s">
        <v>372</v>
      </c>
      <c r="C116" s="7" t="s">
        <v>88</v>
      </c>
      <c r="D116" s="7" t="s">
        <v>215</v>
      </c>
      <c r="E116" s="17" t="s">
        <v>331</v>
      </c>
      <c r="F116" s="17" t="s">
        <v>216</v>
      </c>
      <c r="G116" s="13">
        <v>31035253</v>
      </c>
      <c r="H116" s="13">
        <v>64537</v>
      </c>
      <c r="I116" s="13">
        <v>1052948</v>
      </c>
      <c r="J116" s="13">
        <v>17635435</v>
      </c>
      <c r="K116" s="13">
        <v>1337693</v>
      </c>
      <c r="L116" s="13">
        <v>6887547</v>
      </c>
      <c r="M116" s="13">
        <v>2201043</v>
      </c>
      <c r="N116" s="13">
        <v>29859623</v>
      </c>
      <c r="O116" s="19">
        <v>0.02</v>
      </c>
      <c r="P116" s="13">
        <v>1224</v>
      </c>
      <c r="Q116" s="21">
        <f>1800218/29858929</f>
        <v>6.0290776002046152E-2</v>
      </c>
      <c r="R116" s="13">
        <v>1797905</v>
      </c>
      <c r="S116" s="13">
        <v>0</v>
      </c>
      <c r="T116" s="13">
        <v>980287</v>
      </c>
      <c r="U116" s="13">
        <v>78436</v>
      </c>
      <c r="V116" s="13">
        <v>231494</v>
      </c>
      <c r="W116" s="13">
        <f>190430+9706</f>
        <v>200136</v>
      </c>
      <c r="X116" s="13">
        <v>8110</v>
      </c>
      <c r="Y116" s="13">
        <v>19551</v>
      </c>
      <c r="Z116" s="13">
        <v>225</v>
      </c>
      <c r="AA116" s="13">
        <f>20894+76719+45976</f>
        <v>143589</v>
      </c>
      <c r="AB116" s="13">
        <v>5857</v>
      </c>
      <c r="AC116" s="13">
        <v>2356</v>
      </c>
      <c r="AD116" s="13">
        <v>34122</v>
      </c>
      <c r="AE116" s="13">
        <v>80278</v>
      </c>
      <c r="AF116" s="13">
        <v>1784035</v>
      </c>
      <c r="AG116" s="19">
        <f t="shared" si="14"/>
        <v>4.4997996115547063E-2</v>
      </c>
      <c r="AH116" s="13">
        <v>300742</v>
      </c>
      <c r="AI116" s="13">
        <v>124332</v>
      </c>
      <c r="AJ116" s="13">
        <v>0</v>
      </c>
      <c r="AK116" s="13">
        <v>259801</v>
      </c>
      <c r="AL116" s="13">
        <v>0</v>
      </c>
      <c r="AM116" s="13">
        <v>0</v>
      </c>
      <c r="AN116" s="13">
        <v>0</v>
      </c>
      <c r="AO116" s="13">
        <v>6381</v>
      </c>
      <c r="AP116" s="13">
        <v>3824</v>
      </c>
      <c r="AQ116" s="13">
        <v>-382</v>
      </c>
      <c r="AR116" s="13">
        <v>-1971</v>
      </c>
      <c r="AS116" s="13">
        <v>-1280</v>
      </c>
      <c r="AT116" s="13">
        <f>40+25-20</f>
        <v>45</v>
      </c>
      <c r="AU116" s="13">
        <f t="shared" si="15"/>
        <v>6617</v>
      </c>
      <c r="AV116" s="13">
        <v>7092</v>
      </c>
      <c r="AW116" s="13">
        <v>2936</v>
      </c>
      <c r="AX116" s="13">
        <v>-372</v>
      </c>
      <c r="AY116" s="13">
        <v>-1929</v>
      </c>
      <c r="AZ116" s="13">
        <v>-1400</v>
      </c>
      <c r="BA116" s="13">
        <f>44+36-26</f>
        <v>54</v>
      </c>
      <c r="BB116" s="13">
        <f t="shared" si="16"/>
        <v>6381</v>
      </c>
      <c r="BC116" s="13">
        <v>58</v>
      </c>
    </row>
    <row r="117" spans="1:55" x14ac:dyDescent="0.25">
      <c r="A117" s="7">
        <v>12</v>
      </c>
      <c r="B117" s="7" t="s">
        <v>139</v>
      </c>
      <c r="C117" s="7" t="s">
        <v>160</v>
      </c>
      <c r="D117" s="7" t="s">
        <v>313</v>
      </c>
      <c r="E117" s="17"/>
      <c r="F117" s="17" t="s">
        <v>329</v>
      </c>
      <c r="G117" s="13">
        <v>415085</v>
      </c>
      <c r="H117" s="13">
        <v>390</v>
      </c>
      <c r="I117" s="13">
        <v>4394</v>
      </c>
      <c r="J117" s="13">
        <v>141538</v>
      </c>
      <c r="K117" s="13">
        <v>79686</v>
      </c>
      <c r="L117" s="13">
        <v>130117</v>
      </c>
      <c r="M117" s="13">
        <v>26070</v>
      </c>
      <c r="N117" s="13">
        <v>415307</v>
      </c>
      <c r="O117" s="19">
        <v>3.6700000000000001E-3</v>
      </c>
      <c r="P117" s="13">
        <v>0</v>
      </c>
      <c r="Q117" s="21">
        <f>34540/377463</f>
        <v>9.1505657508153121E-2</v>
      </c>
      <c r="R117" s="13">
        <v>34490</v>
      </c>
      <c r="S117" s="13">
        <v>38209</v>
      </c>
      <c r="T117" s="13">
        <v>0</v>
      </c>
      <c r="U117" s="13">
        <v>0</v>
      </c>
      <c r="V117" s="13">
        <v>0</v>
      </c>
      <c r="W117" s="13">
        <v>1008</v>
      </c>
      <c r="X117" s="13">
        <v>0</v>
      </c>
      <c r="Y117" s="13">
        <v>0</v>
      </c>
      <c r="Z117" s="13">
        <v>10675</v>
      </c>
      <c r="AA117" s="13">
        <f>509+2652</f>
        <v>3161</v>
      </c>
      <c r="AB117" s="13">
        <v>0</v>
      </c>
      <c r="AC117" s="13">
        <v>600</v>
      </c>
      <c r="AD117" s="13">
        <v>0</v>
      </c>
      <c r="AE117" s="13">
        <v>15852</v>
      </c>
      <c r="AF117" s="13">
        <v>16651</v>
      </c>
      <c r="AG117" s="19">
        <f t="shared" si="14"/>
        <v>0.95201489400036032</v>
      </c>
      <c r="AH117" s="13">
        <v>1514</v>
      </c>
      <c r="AI117" s="13">
        <v>22418</v>
      </c>
      <c r="AJ117" s="13">
        <v>0</v>
      </c>
      <c r="AK117" s="13">
        <v>734</v>
      </c>
      <c r="AL117" s="13">
        <v>0</v>
      </c>
      <c r="AM117" s="13">
        <v>0</v>
      </c>
      <c r="AN117" s="13">
        <v>0</v>
      </c>
      <c r="AO117" s="13">
        <v>102</v>
      </c>
      <c r="AP117" s="13">
        <v>63</v>
      </c>
      <c r="AQ117" s="13">
        <v>-11</v>
      </c>
      <c r="AR117" s="13">
        <v>-20</v>
      </c>
      <c r="AS117" s="13">
        <v>-21</v>
      </c>
      <c r="AT117" s="13">
        <v>6</v>
      </c>
      <c r="AU117" s="13">
        <f t="shared" si="15"/>
        <v>119</v>
      </c>
      <c r="AV117" s="13">
        <v>0</v>
      </c>
      <c r="AW117" s="13">
        <v>34</v>
      </c>
      <c r="AX117" s="13">
        <v>-9</v>
      </c>
      <c r="AY117" s="13">
        <v>-10</v>
      </c>
      <c r="AZ117" s="13">
        <v>-12</v>
      </c>
      <c r="BA117" s="13">
        <f>97+2</f>
        <v>99</v>
      </c>
      <c r="BB117" s="13">
        <f t="shared" si="16"/>
        <v>102</v>
      </c>
      <c r="BC117" s="13">
        <v>0</v>
      </c>
    </row>
    <row r="118" spans="1:55" x14ac:dyDescent="0.25">
      <c r="A118" s="7">
        <v>12</v>
      </c>
      <c r="B118" s="7" t="s">
        <v>141</v>
      </c>
      <c r="C118" s="7" t="s">
        <v>506</v>
      </c>
      <c r="D118" s="7" t="s">
        <v>212</v>
      </c>
      <c r="E118" s="17" t="s">
        <v>331</v>
      </c>
      <c r="F118" s="17" t="s">
        <v>222</v>
      </c>
      <c r="G118" s="13">
        <v>647307</v>
      </c>
      <c r="H118" s="13">
        <v>1279</v>
      </c>
      <c r="I118" s="13">
        <v>36412</v>
      </c>
      <c r="J118" s="13">
        <v>189006</v>
      </c>
      <c r="K118" s="13">
        <v>140590</v>
      </c>
      <c r="L118" s="13">
        <v>191459</v>
      </c>
      <c r="M118" s="13">
        <v>55497</v>
      </c>
      <c r="N118" s="13">
        <v>642058</v>
      </c>
      <c r="O118" s="19">
        <v>7.2300000000000003E-2</v>
      </c>
      <c r="P118" s="13">
        <v>0</v>
      </c>
      <c r="Q118" s="21">
        <f>64206/642058</f>
        <v>0.10000031149833816</v>
      </c>
      <c r="R118" s="13">
        <v>64804</v>
      </c>
      <c r="S118" s="13">
        <v>0</v>
      </c>
      <c r="T118" s="13">
        <v>11092</v>
      </c>
      <c r="U118" s="13">
        <v>1041</v>
      </c>
      <c r="V118" s="13">
        <v>966</v>
      </c>
      <c r="W118" s="13">
        <v>4489</v>
      </c>
      <c r="X118" s="13">
        <v>0</v>
      </c>
      <c r="Y118" s="13">
        <v>6122</v>
      </c>
      <c r="Z118" s="13">
        <v>0</v>
      </c>
      <c r="AA118" s="13">
        <f>2443+2410+1907</f>
        <v>6760</v>
      </c>
      <c r="AB118" s="13">
        <v>2117</v>
      </c>
      <c r="AC118" s="13">
        <v>0</v>
      </c>
      <c r="AD118" s="13">
        <v>0</v>
      </c>
      <c r="AE118" s="13">
        <v>23251</v>
      </c>
      <c r="AF118" s="13">
        <v>38507</v>
      </c>
      <c r="AG118" s="19">
        <f t="shared" si="14"/>
        <v>0.60381229386864721</v>
      </c>
      <c r="AH118" s="13">
        <v>0</v>
      </c>
      <c r="AI118" s="13">
        <v>27508</v>
      </c>
      <c r="AJ118" s="13">
        <v>0</v>
      </c>
      <c r="AK118" s="13">
        <v>0</v>
      </c>
      <c r="AL118" s="13">
        <v>0</v>
      </c>
      <c r="AM118" s="13">
        <v>0</v>
      </c>
      <c r="AN118" s="13">
        <v>0</v>
      </c>
      <c r="AO118" s="13">
        <v>215</v>
      </c>
      <c r="AP118" s="13">
        <v>114</v>
      </c>
      <c r="AQ118" s="13">
        <v>-15</v>
      </c>
      <c r="AR118" s="13">
        <v>-36</v>
      </c>
      <c r="AS118" s="13">
        <v>-40</v>
      </c>
      <c r="AT118" s="13">
        <v>0</v>
      </c>
      <c r="AU118" s="13">
        <f t="shared" si="15"/>
        <v>238</v>
      </c>
      <c r="AV118" s="13">
        <v>211</v>
      </c>
      <c r="AW118" s="13">
        <v>98</v>
      </c>
      <c r="AX118" s="13">
        <v>-16</v>
      </c>
      <c r="AY118" s="13">
        <v>-31</v>
      </c>
      <c r="AZ118" s="13">
        <v>-47</v>
      </c>
      <c r="BA118" s="13">
        <v>0</v>
      </c>
      <c r="BB118" s="13">
        <f t="shared" si="16"/>
        <v>215</v>
      </c>
      <c r="BC118" s="13">
        <v>7</v>
      </c>
    </row>
    <row r="119" spans="1:55" x14ac:dyDescent="0.25">
      <c r="A119" s="7">
        <v>12</v>
      </c>
      <c r="B119" s="7" t="s">
        <v>161</v>
      </c>
      <c r="C119" s="7" t="s">
        <v>40</v>
      </c>
      <c r="D119" s="7" t="s">
        <v>298</v>
      </c>
      <c r="E119" s="17"/>
      <c r="F119" s="17" t="s">
        <v>294</v>
      </c>
      <c r="G119" s="13">
        <v>213771</v>
      </c>
      <c r="H119" s="13">
        <v>315</v>
      </c>
      <c r="I119" s="13">
        <v>1733</v>
      </c>
      <c r="J119" s="13">
        <v>45480</v>
      </c>
      <c r="K119" s="13">
        <v>68911</v>
      </c>
      <c r="L119" s="13">
        <v>65328</v>
      </c>
      <c r="M119" s="13">
        <v>15986</v>
      </c>
      <c r="N119" s="13">
        <v>217439</v>
      </c>
      <c r="O119" s="19">
        <v>8.7800000000000003E-2</v>
      </c>
      <c r="P119" s="13">
        <v>19827</v>
      </c>
      <c r="Q119" s="21">
        <f>19575/195753</f>
        <v>9.9998467456437451E-2</v>
      </c>
      <c r="R119" s="13">
        <v>19827</v>
      </c>
      <c r="S119" s="13">
        <v>0</v>
      </c>
      <c r="T119" s="13">
        <v>6916</v>
      </c>
      <c r="U119" s="13">
        <v>0</v>
      </c>
      <c r="V119" s="13">
        <v>0</v>
      </c>
      <c r="W119" s="13">
        <v>500</v>
      </c>
      <c r="X119" s="13">
        <v>0</v>
      </c>
      <c r="Y119" s="13">
        <v>0</v>
      </c>
      <c r="Z119" s="13">
        <v>1623</v>
      </c>
      <c r="AA119" s="13">
        <f>1280+633+1280</f>
        <v>3193</v>
      </c>
      <c r="AB119" s="13">
        <v>0</v>
      </c>
      <c r="AC119" s="13">
        <v>1533</v>
      </c>
      <c r="AD119" s="13">
        <v>0</v>
      </c>
      <c r="AE119" s="13">
        <v>0</v>
      </c>
      <c r="AF119" s="13">
        <v>15528</v>
      </c>
      <c r="AG119" s="19">
        <f t="shared" si="14"/>
        <v>0</v>
      </c>
      <c r="AH119" s="13">
        <v>286</v>
      </c>
      <c r="AI119" s="13">
        <v>6294</v>
      </c>
      <c r="AJ119" s="13">
        <v>0</v>
      </c>
      <c r="AK119" s="13">
        <v>326</v>
      </c>
      <c r="AL119" s="13">
        <v>0</v>
      </c>
      <c r="AM119" s="13">
        <v>0</v>
      </c>
      <c r="AN119" s="13">
        <v>0</v>
      </c>
      <c r="AO119" s="13">
        <v>72</v>
      </c>
      <c r="AP119" s="13">
        <v>47</v>
      </c>
      <c r="AQ119" s="13">
        <v>-7</v>
      </c>
      <c r="AR119" s="13">
        <v>-18</v>
      </c>
      <c r="AS119" s="13">
        <v>-12</v>
      </c>
      <c r="AT119" s="13">
        <v>0</v>
      </c>
      <c r="AU119" s="13">
        <f t="shared" si="15"/>
        <v>82</v>
      </c>
      <c r="AV119" s="13">
        <v>0</v>
      </c>
      <c r="AW119" s="13">
        <v>21</v>
      </c>
      <c r="AX119" s="13">
        <v>-1</v>
      </c>
      <c r="AY119" s="13">
        <v>-3</v>
      </c>
      <c r="AZ119" s="13">
        <v>-6</v>
      </c>
      <c r="BA119" s="13">
        <v>61</v>
      </c>
      <c r="BB119" s="13">
        <f t="shared" si="16"/>
        <v>72</v>
      </c>
      <c r="BC119" s="13">
        <v>0</v>
      </c>
    </row>
    <row r="120" spans="1:55" x14ac:dyDescent="0.25">
      <c r="A120" s="7">
        <v>12</v>
      </c>
      <c r="B120" s="7" t="s">
        <v>289</v>
      </c>
      <c r="C120" s="7" t="s">
        <v>293</v>
      </c>
      <c r="D120" s="7" t="s">
        <v>298</v>
      </c>
      <c r="E120" s="17"/>
      <c r="F120" s="17" t="s">
        <v>294</v>
      </c>
      <c r="G120" s="13">
        <v>31286579</v>
      </c>
      <c r="H120" s="13">
        <v>91591</v>
      </c>
      <c r="I120" s="13">
        <v>394577</v>
      </c>
      <c r="J120" s="13">
        <v>11499808</v>
      </c>
      <c r="K120" s="13">
        <v>6139026</v>
      </c>
      <c r="L120" s="13">
        <v>9125896</v>
      </c>
      <c r="M120" s="13">
        <v>2496433</v>
      </c>
      <c r="N120" s="13">
        <v>30351911</v>
      </c>
      <c r="O120" s="19">
        <v>0.12659999999999999</v>
      </c>
      <c r="P120" s="13">
        <v>0</v>
      </c>
      <c r="Q120" s="21">
        <f>1092453/29261163</f>
        <v>3.7334572108429186E-2</v>
      </c>
      <c r="R120" s="13">
        <v>1090498</v>
      </c>
      <c r="S120" s="13">
        <v>0</v>
      </c>
      <c r="T120" s="13">
        <v>587006</v>
      </c>
      <c r="U120" s="13">
        <v>47033</v>
      </c>
      <c r="V120" s="13">
        <v>170449</v>
      </c>
      <c r="W120" s="13">
        <v>97320</v>
      </c>
      <c r="X120" s="13">
        <v>13180</v>
      </c>
      <c r="Y120" s="13">
        <v>22830</v>
      </c>
      <c r="Z120" s="13">
        <v>0</v>
      </c>
      <c r="AA120" s="13">
        <f>20798+27029+30869</f>
        <v>78696</v>
      </c>
      <c r="AB120" s="13">
        <v>0</v>
      </c>
      <c r="AC120" s="13">
        <v>17163</v>
      </c>
      <c r="AD120" s="13">
        <v>23660</v>
      </c>
      <c r="AE120" s="13">
        <v>36062</v>
      </c>
      <c r="AF120" s="13">
        <v>1100207</v>
      </c>
      <c r="AG120" s="19">
        <f t="shared" si="14"/>
        <v>3.2777468240067553E-2</v>
      </c>
      <c r="AH120" s="13">
        <v>217235</v>
      </c>
      <c r="AI120" s="13">
        <v>124080</v>
      </c>
      <c r="AJ120" s="13">
        <v>0</v>
      </c>
      <c r="AK120" s="13">
        <v>148389</v>
      </c>
      <c r="AL120" s="13">
        <v>0</v>
      </c>
      <c r="AM120" s="13">
        <v>0</v>
      </c>
      <c r="AN120" s="13">
        <v>0</v>
      </c>
      <c r="AO120" s="13">
        <v>9592</v>
      </c>
      <c r="AP120" s="13">
        <v>4278</v>
      </c>
      <c r="AQ120" s="13">
        <v>-529</v>
      </c>
      <c r="AR120" s="13">
        <v>-2439</v>
      </c>
      <c r="AS120" s="13">
        <v>-1578</v>
      </c>
      <c r="AT120" s="13">
        <v>45</v>
      </c>
      <c r="AU120" s="13">
        <f t="shared" si="15"/>
        <v>9369</v>
      </c>
      <c r="AV120" s="13">
        <v>9896</v>
      </c>
      <c r="AW120" s="13">
        <v>4109</v>
      </c>
      <c r="AX120" s="13">
        <v>-602</v>
      </c>
      <c r="AY120" s="13">
        <v>-2279</v>
      </c>
      <c r="AZ120" s="13">
        <v>-1528</v>
      </c>
      <c r="BA120" s="13">
        <f>61-65</f>
        <v>-4</v>
      </c>
      <c r="BB120" s="13">
        <f t="shared" si="16"/>
        <v>9592</v>
      </c>
      <c r="BC120" s="13">
        <v>23</v>
      </c>
    </row>
    <row r="121" spans="1:55" x14ac:dyDescent="0.25">
      <c r="A121" s="7">
        <v>12</v>
      </c>
      <c r="B121" s="7" t="s">
        <v>503</v>
      </c>
      <c r="C121" s="7" t="s">
        <v>130</v>
      </c>
      <c r="D121" s="7" t="s">
        <v>212</v>
      </c>
      <c r="E121" s="17" t="s">
        <v>449</v>
      </c>
      <c r="F121" s="17" t="s">
        <v>222</v>
      </c>
      <c r="G121" s="13">
        <v>5069886</v>
      </c>
      <c r="H121" s="13">
        <v>4888</v>
      </c>
      <c r="I121" s="13">
        <v>82200</v>
      </c>
      <c r="J121" s="13">
        <v>2284636</v>
      </c>
      <c r="K121" s="13">
        <v>337017</v>
      </c>
      <c r="L121" s="13">
        <v>1435411</v>
      </c>
      <c r="M121" s="13">
        <v>356570</v>
      </c>
      <c r="N121" s="13">
        <v>4845888</v>
      </c>
      <c r="O121" s="19">
        <v>9.1999999999999998E-2</v>
      </c>
      <c r="P121" s="13">
        <v>0</v>
      </c>
      <c r="Q121" s="21">
        <f>406557/4823744</f>
        <v>8.4282457775537015E-2</v>
      </c>
      <c r="R121" s="13">
        <v>406554</v>
      </c>
      <c r="S121" s="13">
        <v>0</v>
      </c>
      <c r="T121" s="13">
        <v>148257</v>
      </c>
      <c r="U121" s="13">
        <v>12058</v>
      </c>
      <c r="V121" s="13">
        <v>43686</v>
      </c>
      <c r="W121" s="13">
        <f>25257+816</f>
        <v>26073</v>
      </c>
      <c r="X121" s="13">
        <v>0</v>
      </c>
      <c r="Y121" s="13">
        <v>3969</v>
      </c>
      <c r="Z121" s="13">
        <v>0</v>
      </c>
      <c r="AA121" s="13">
        <f>3733+8200+5469</f>
        <v>17402</v>
      </c>
      <c r="AB121" s="13">
        <v>6498</v>
      </c>
      <c r="AC121" s="13">
        <v>3067</v>
      </c>
      <c r="AD121" s="13">
        <v>2568</v>
      </c>
      <c r="AE121" s="13">
        <v>0</v>
      </c>
      <c r="AF121" s="13">
        <v>287221</v>
      </c>
      <c r="AG121" s="19">
        <f t="shared" si="14"/>
        <v>0</v>
      </c>
      <c r="AH121" s="13">
        <v>39797</v>
      </c>
      <c r="AI121" s="13">
        <v>124333</v>
      </c>
      <c r="AJ121" s="13">
        <v>0</v>
      </c>
      <c r="AK121" s="13">
        <v>40400</v>
      </c>
      <c r="AL121" s="13">
        <v>0</v>
      </c>
      <c r="AM121" s="13">
        <v>0</v>
      </c>
      <c r="AN121" s="13">
        <v>0</v>
      </c>
      <c r="AO121" s="13">
        <v>1141</v>
      </c>
      <c r="AP121" s="13">
        <v>538</v>
      </c>
      <c r="AQ121" s="13">
        <v>-119.5</v>
      </c>
      <c r="AR121" s="13">
        <v>-132.5</v>
      </c>
      <c r="AS121" s="13">
        <v>-207</v>
      </c>
      <c r="AT121" s="13">
        <f>1+6</f>
        <v>7</v>
      </c>
      <c r="AU121" s="13">
        <f t="shared" si="15"/>
        <v>1227</v>
      </c>
      <c r="AV121" s="13">
        <v>1058</v>
      </c>
      <c r="AW121" s="13">
        <v>500</v>
      </c>
      <c r="AX121" s="13">
        <v>-103.5</v>
      </c>
      <c r="AY121" s="13">
        <v>-109.5</v>
      </c>
      <c r="AZ121" s="13">
        <v>-211</v>
      </c>
      <c r="BA121" s="13">
        <f>2+9-2-2</f>
        <v>7</v>
      </c>
      <c r="BB121" s="13">
        <f t="shared" si="16"/>
        <v>1141</v>
      </c>
      <c r="BC121" s="13">
        <v>0</v>
      </c>
    </row>
    <row r="122" spans="1:55" x14ac:dyDescent="0.25">
      <c r="A122" s="7">
        <v>12</v>
      </c>
      <c r="B122" s="7" t="s">
        <v>531</v>
      </c>
      <c r="C122" s="7" t="s">
        <v>442</v>
      </c>
      <c r="D122" s="7" t="s">
        <v>434</v>
      </c>
      <c r="E122" s="17"/>
      <c r="F122" s="17" t="s">
        <v>448</v>
      </c>
      <c r="G122" s="13">
        <v>1566461.49</v>
      </c>
      <c r="H122" s="13">
        <v>908.95</v>
      </c>
      <c r="I122" s="13">
        <v>199482.67</v>
      </c>
      <c r="J122" s="13">
        <v>515930.76</v>
      </c>
      <c r="K122" s="13">
        <v>139872.59</v>
      </c>
      <c r="L122" s="13">
        <v>399181.83</v>
      </c>
      <c r="M122" s="13">
        <v>36016.26</v>
      </c>
      <c r="N122" s="13">
        <v>1211089.8899999999</v>
      </c>
      <c r="O122" s="19">
        <v>6.93E-2</v>
      </c>
      <c r="P122" s="13">
        <v>0</v>
      </c>
      <c r="Q122" s="21">
        <f>121100.99/1211009.89</f>
        <v>0.10000000082575711</v>
      </c>
      <c r="R122" s="13">
        <v>119908.45</v>
      </c>
      <c r="S122" s="13">
        <v>800</v>
      </c>
      <c r="T122" s="13">
        <v>26643.71</v>
      </c>
      <c r="U122" s="13">
        <v>2038.44</v>
      </c>
      <c r="V122" s="13">
        <v>1966.44</v>
      </c>
      <c r="W122" s="13">
        <v>8541.24</v>
      </c>
      <c r="X122" s="13">
        <v>306.07</v>
      </c>
      <c r="Y122" s="13">
        <v>1820.39</v>
      </c>
      <c r="Z122" s="13">
        <v>0</v>
      </c>
      <c r="AA122" s="13">
        <f>2282.29+3000+2882.67</f>
        <v>8164.96</v>
      </c>
      <c r="AB122" s="13">
        <v>500</v>
      </c>
      <c r="AC122" s="13">
        <v>330.99</v>
      </c>
      <c r="AD122" s="13">
        <v>2438.9</v>
      </c>
      <c r="AE122" s="13">
        <v>62255.27</v>
      </c>
      <c r="AF122" s="13">
        <v>68302.27</v>
      </c>
      <c r="AG122" s="19">
        <f t="shared" si="14"/>
        <v>0.9114670712993872</v>
      </c>
      <c r="AH122" s="13">
        <v>13.62</v>
      </c>
      <c r="AI122" s="13">
        <v>65935.37</v>
      </c>
      <c r="AJ122" s="13">
        <v>0</v>
      </c>
      <c r="AK122" s="13">
        <v>0</v>
      </c>
      <c r="AL122" s="13">
        <v>0</v>
      </c>
      <c r="AM122" s="13">
        <v>0</v>
      </c>
      <c r="AN122" s="13">
        <v>0</v>
      </c>
      <c r="AO122" s="13">
        <v>269</v>
      </c>
      <c r="AP122" s="13">
        <v>104</v>
      </c>
      <c r="AQ122" s="13">
        <v>-27</v>
      </c>
      <c r="AR122" s="13">
        <v>-25</v>
      </c>
      <c r="AS122" s="13">
        <v>-46</v>
      </c>
      <c r="AT122" s="13">
        <v>6</v>
      </c>
      <c r="AU122" s="13">
        <f t="shared" si="15"/>
        <v>281</v>
      </c>
      <c r="AV122" s="13">
        <v>272</v>
      </c>
      <c r="AW122" s="13">
        <v>98</v>
      </c>
      <c r="AX122" s="13">
        <v>-29</v>
      </c>
      <c r="AY122" s="13">
        <v>-34</v>
      </c>
      <c r="AZ122" s="13">
        <v>-45</v>
      </c>
      <c r="BA122" s="13">
        <v>7</v>
      </c>
      <c r="BB122" s="13">
        <f t="shared" si="16"/>
        <v>269</v>
      </c>
      <c r="BC122" s="13">
        <v>0</v>
      </c>
    </row>
    <row r="123" spans="1:55" x14ac:dyDescent="0.25">
      <c r="A123" s="7">
        <v>13</v>
      </c>
      <c r="B123" s="7" t="s">
        <v>109</v>
      </c>
      <c r="C123" s="7" t="s">
        <v>330</v>
      </c>
      <c r="D123" s="7" t="s">
        <v>26</v>
      </c>
      <c r="E123" s="17" t="s">
        <v>144</v>
      </c>
      <c r="F123" s="17" t="s">
        <v>28</v>
      </c>
      <c r="G123" s="13">
        <v>43066448</v>
      </c>
      <c r="H123" s="13">
        <v>158524</v>
      </c>
      <c r="I123" s="13">
        <v>2075094</v>
      </c>
      <c r="J123" s="13">
        <v>26511662</v>
      </c>
      <c r="K123" s="13">
        <v>3865727</v>
      </c>
      <c r="L123" s="13">
        <v>4513141</v>
      </c>
      <c r="M123" s="13">
        <v>2968785</v>
      </c>
      <c r="N123" s="13">
        <v>40081289</v>
      </c>
      <c r="O123" s="19">
        <v>0.05</v>
      </c>
      <c r="P123" s="13">
        <v>0</v>
      </c>
      <c r="Q123" s="21">
        <f>1478033/40038462</f>
        <v>3.6915329065337225E-2</v>
      </c>
      <c r="R123" s="13">
        <v>1477852</v>
      </c>
      <c r="S123" s="13">
        <v>0</v>
      </c>
      <c r="T123" s="13">
        <v>946712</v>
      </c>
      <c r="U123" s="13">
        <v>73714</v>
      </c>
      <c r="V123" s="13">
        <v>152626</v>
      </c>
      <c r="W123" s="13">
        <v>96377</v>
      </c>
      <c r="X123" s="13">
        <v>3005</v>
      </c>
      <c r="Y123" s="13">
        <v>16716</v>
      </c>
      <c r="Z123" s="13">
        <v>0</v>
      </c>
      <c r="AA123" s="13">
        <f>19747+116266+61507</f>
        <v>197520</v>
      </c>
      <c r="AB123" s="13">
        <v>15313</v>
      </c>
      <c r="AC123" s="13">
        <v>562</v>
      </c>
      <c r="AD123" s="13">
        <v>67585</v>
      </c>
      <c r="AE123" s="13">
        <v>0</v>
      </c>
      <c r="AF123" s="13">
        <v>1684392</v>
      </c>
      <c r="AG123" s="19">
        <f t="shared" si="14"/>
        <v>0</v>
      </c>
      <c r="AH123" s="13">
        <v>210568</v>
      </c>
      <c r="AI123" s="13">
        <v>124333</v>
      </c>
      <c r="AJ123" s="13">
        <v>0</v>
      </c>
      <c r="AK123" s="13">
        <v>243104</v>
      </c>
      <c r="AL123" s="13">
        <v>0</v>
      </c>
      <c r="AM123" s="13">
        <v>0</v>
      </c>
      <c r="AN123" s="13">
        <v>0</v>
      </c>
      <c r="AO123" s="13">
        <v>9380</v>
      </c>
      <c r="AP123" s="13">
        <v>5612</v>
      </c>
      <c r="AQ123" s="13">
        <v>-375</v>
      </c>
      <c r="AR123" s="13">
        <v>-1722</v>
      </c>
      <c r="AS123" s="13">
        <v>-1411</v>
      </c>
      <c r="AT123" s="13">
        <f>2+50-1</f>
        <v>51</v>
      </c>
      <c r="AU123" s="13">
        <f t="shared" si="15"/>
        <v>11535</v>
      </c>
      <c r="AV123" s="13">
        <v>8546</v>
      </c>
      <c r="AW123" s="13">
        <v>2731</v>
      </c>
      <c r="AX123" s="13">
        <v>-219</v>
      </c>
      <c r="AY123" s="13">
        <v>-813</v>
      </c>
      <c r="AZ123" s="13">
        <v>-880</v>
      </c>
      <c r="BA123" s="13">
        <f>1+14</f>
        <v>15</v>
      </c>
      <c r="BB123" s="13">
        <f t="shared" si="16"/>
        <v>9380</v>
      </c>
      <c r="BC123" s="13">
        <v>86</v>
      </c>
    </row>
    <row r="124" spans="1:55" x14ac:dyDescent="0.25">
      <c r="A124" s="7">
        <v>13</v>
      </c>
      <c r="B124" s="7" t="s">
        <v>164</v>
      </c>
      <c r="C124" s="7" t="s">
        <v>231</v>
      </c>
      <c r="D124" s="7" t="s">
        <v>299</v>
      </c>
      <c r="E124" s="17" t="s">
        <v>512</v>
      </c>
      <c r="F124" s="17" t="s">
        <v>297</v>
      </c>
      <c r="G124" s="13">
        <v>10368505</v>
      </c>
      <c r="H124" s="13">
        <v>30591</v>
      </c>
      <c r="I124" s="13">
        <v>456976</v>
      </c>
      <c r="J124" s="13">
        <v>5079165</v>
      </c>
      <c r="K124" s="13">
        <v>952425</v>
      </c>
      <c r="L124" s="13">
        <v>2161907</v>
      </c>
      <c r="M124" s="13">
        <v>554865</v>
      </c>
      <c r="N124" s="13">
        <v>9500718</v>
      </c>
      <c r="O124" s="19">
        <v>0.14000000000000001</v>
      </c>
      <c r="P124" s="13">
        <v>0</v>
      </c>
      <c r="Q124" s="21">
        <f>786450/9495211</f>
        <v>8.2825963530457611E-2</v>
      </c>
      <c r="R124" s="13">
        <v>700839</v>
      </c>
      <c r="S124" s="13">
        <v>22118</v>
      </c>
      <c r="T124" s="13">
        <v>323580</v>
      </c>
      <c r="U124" s="13">
        <v>27263</v>
      </c>
      <c r="V124" s="13">
        <v>60017</v>
      </c>
      <c r="W124" s="13">
        <v>46385</v>
      </c>
      <c r="X124" s="13">
        <v>8822</v>
      </c>
      <c r="Y124" s="13">
        <v>15384</v>
      </c>
      <c r="Z124" s="13">
        <v>656</v>
      </c>
      <c r="AA124" s="13">
        <f>8635+21045+15764</f>
        <v>45444</v>
      </c>
      <c r="AB124" s="13">
        <v>9895</v>
      </c>
      <c r="AC124" s="13">
        <v>-572</v>
      </c>
      <c r="AD124" s="13">
        <v>41812</v>
      </c>
      <c r="AE124" s="13">
        <v>82278</v>
      </c>
      <c r="AF124" s="13">
        <v>617883</v>
      </c>
      <c r="AG124" s="19">
        <f t="shared" si="14"/>
        <v>0.1331611324474051</v>
      </c>
      <c r="AH124" s="13">
        <v>82528</v>
      </c>
      <c r="AI124" s="13">
        <v>124333</v>
      </c>
      <c r="AJ124" s="13">
        <v>0</v>
      </c>
      <c r="AK124" s="13">
        <v>79457</v>
      </c>
      <c r="AL124" s="13">
        <v>0</v>
      </c>
      <c r="AM124" s="13">
        <v>0</v>
      </c>
      <c r="AN124" s="13">
        <v>0</v>
      </c>
      <c r="AO124" s="13">
        <v>2003</v>
      </c>
      <c r="AP124" s="13">
        <v>1340</v>
      </c>
      <c r="AQ124" s="13">
        <v>-175</v>
      </c>
      <c r="AR124" s="13">
        <v>-619</v>
      </c>
      <c r="AS124" s="13">
        <v>-325</v>
      </c>
      <c r="AT124" s="13"/>
      <c r="AU124" s="13">
        <f t="shared" si="15"/>
        <v>2224</v>
      </c>
      <c r="AV124" s="13">
        <v>2027</v>
      </c>
      <c r="AW124" s="13">
        <v>1070</v>
      </c>
      <c r="AX124" s="13">
        <v>-176</v>
      </c>
      <c r="AY124" s="13">
        <v>-515</v>
      </c>
      <c r="AZ124" s="13">
        <v>-406</v>
      </c>
      <c r="BA124" s="13">
        <f>5-2</f>
        <v>3</v>
      </c>
      <c r="BB124" s="13">
        <f t="shared" si="16"/>
        <v>2003</v>
      </c>
      <c r="BC124" s="13">
        <v>3</v>
      </c>
    </row>
    <row r="125" spans="1:55" x14ac:dyDescent="0.25">
      <c r="A125" s="7">
        <v>13</v>
      </c>
      <c r="B125" s="7" t="s">
        <v>244</v>
      </c>
      <c r="C125" s="7" t="s">
        <v>237</v>
      </c>
      <c r="D125" s="7" t="s">
        <v>299</v>
      </c>
      <c r="E125" s="17" t="s">
        <v>143</v>
      </c>
      <c r="F125" s="17" t="s">
        <v>297</v>
      </c>
      <c r="G125" s="13">
        <v>33862801</v>
      </c>
      <c r="H125" s="13">
        <v>147835</v>
      </c>
      <c r="I125" s="13">
        <v>621836</v>
      </c>
      <c r="J125" s="13">
        <v>18063561</v>
      </c>
      <c r="K125" s="13">
        <v>1974808</v>
      </c>
      <c r="L125" s="13">
        <v>8534123</v>
      </c>
      <c r="M125" s="13">
        <v>3093987</v>
      </c>
      <c r="N125" s="13">
        <v>32722410</v>
      </c>
      <c r="O125" s="19">
        <v>0.06</v>
      </c>
      <c r="P125" s="13">
        <v>1696800</v>
      </c>
      <c r="Q125" s="21">
        <f>1008389/30718529</f>
        <v>3.2826734639539543E-2</v>
      </c>
      <c r="R125" s="13">
        <v>1008389</v>
      </c>
      <c r="S125" s="13">
        <v>0</v>
      </c>
      <c r="T125" s="13">
        <v>568597</v>
      </c>
      <c r="U125" s="13">
        <v>48555</v>
      </c>
      <c r="V125" s="13">
        <v>118151</v>
      </c>
      <c r="W125" s="13">
        <v>135021</v>
      </c>
      <c r="X125" s="13">
        <v>10692</v>
      </c>
      <c r="Y125" s="13">
        <v>31290</v>
      </c>
      <c r="Z125" s="13">
        <v>0</v>
      </c>
      <c r="AA125" s="13">
        <f>10355+58129+28978</f>
        <v>97462</v>
      </c>
      <c r="AB125" s="13">
        <v>10133</v>
      </c>
      <c r="AC125" s="13">
        <v>1558</v>
      </c>
      <c r="AD125" s="13">
        <v>15943</v>
      </c>
      <c r="AE125" s="13">
        <v>78888</v>
      </c>
      <c r="AF125" s="13">
        <v>1093410</v>
      </c>
      <c r="AG125" s="19">
        <f t="shared" si="14"/>
        <v>7.2148599336022162E-2</v>
      </c>
      <c r="AH125" s="13">
        <v>123122</v>
      </c>
      <c r="AI125" s="13">
        <v>124333</v>
      </c>
      <c r="AJ125" s="13">
        <v>0</v>
      </c>
      <c r="AK125" s="13">
        <v>111424</v>
      </c>
      <c r="AL125" s="13">
        <v>0</v>
      </c>
      <c r="AM125" s="13">
        <v>0</v>
      </c>
      <c r="AN125" s="13">
        <v>0</v>
      </c>
      <c r="AO125" s="13">
        <v>7917</v>
      </c>
      <c r="AP125" s="13">
        <v>4969</v>
      </c>
      <c r="AQ125" s="13">
        <v>-400</v>
      </c>
      <c r="AR125" s="13">
        <v>-2921</v>
      </c>
      <c r="AS125" s="13">
        <v>-1483</v>
      </c>
      <c r="AT125" s="13">
        <v>26</v>
      </c>
      <c r="AU125" s="13">
        <f t="shared" si="15"/>
        <v>8108</v>
      </c>
      <c r="AV125" s="13">
        <v>8254</v>
      </c>
      <c r="AW125" s="13">
        <v>3614</v>
      </c>
      <c r="AX125" s="13">
        <v>-368</v>
      </c>
      <c r="AY125" s="13">
        <v>-2183</v>
      </c>
      <c r="AZ125" s="13">
        <v>-1424</v>
      </c>
      <c r="BA125" s="13">
        <v>24</v>
      </c>
      <c r="BB125" s="13">
        <f t="shared" si="16"/>
        <v>7917</v>
      </c>
      <c r="BC125" s="13">
        <v>10</v>
      </c>
    </row>
    <row r="126" spans="1:55" x14ac:dyDescent="0.25">
      <c r="A126" s="7">
        <v>13</v>
      </c>
      <c r="B126" s="7" t="s">
        <v>251</v>
      </c>
      <c r="C126" s="7" t="s">
        <v>351</v>
      </c>
      <c r="D126" s="7" t="s">
        <v>314</v>
      </c>
      <c r="E126" s="17"/>
      <c r="F126" s="17" t="s">
        <v>315</v>
      </c>
      <c r="G126" s="13">
        <v>6605757</v>
      </c>
      <c r="H126" s="13">
        <v>12312</v>
      </c>
      <c r="I126" s="13">
        <v>153698</v>
      </c>
      <c r="J126" s="13">
        <v>3322923</v>
      </c>
      <c r="K126" s="13">
        <v>503853</v>
      </c>
      <c r="L126" s="13">
        <v>1449533</v>
      </c>
      <c r="M126" s="13">
        <v>662057</v>
      </c>
      <c r="N126" s="13">
        <v>6529022</v>
      </c>
      <c r="O126" s="19">
        <v>0.09</v>
      </c>
      <c r="P126" s="13">
        <v>0</v>
      </c>
      <c r="Q126" s="21">
        <f>587336/6525956</f>
        <v>8.9999993870629832E-2</v>
      </c>
      <c r="R126" s="13">
        <v>587061</v>
      </c>
      <c r="S126" s="13">
        <v>1120</v>
      </c>
      <c r="T126" s="13">
        <v>258061</v>
      </c>
      <c r="U126" s="13">
        <v>20337</v>
      </c>
      <c r="V126" s="13">
        <v>27265</v>
      </c>
      <c r="W126" s="13">
        <f>41436+2375</f>
        <v>43811</v>
      </c>
      <c r="X126" s="13">
        <v>3324</v>
      </c>
      <c r="Y126" s="13">
        <v>0</v>
      </c>
      <c r="Z126" s="13">
        <v>0</v>
      </c>
      <c r="AA126" s="13">
        <f>10990+16588+23937</f>
        <v>51515</v>
      </c>
      <c r="AB126" s="13">
        <v>4494</v>
      </c>
      <c r="AC126" s="13">
        <v>0</v>
      </c>
      <c r="AD126" s="13">
        <v>4341</v>
      </c>
      <c r="AE126" s="13">
        <v>2650</v>
      </c>
      <c r="AF126" s="13">
        <v>482476</v>
      </c>
      <c r="AG126" s="19">
        <f t="shared" si="14"/>
        <v>5.4925011814059149E-3</v>
      </c>
      <c r="AH126" s="13">
        <v>73471</v>
      </c>
      <c r="AI126" s="13">
        <v>124333</v>
      </c>
      <c r="AJ126" s="13">
        <v>0</v>
      </c>
      <c r="AK126" s="13">
        <v>71222</v>
      </c>
      <c r="AL126" s="13">
        <v>0</v>
      </c>
      <c r="AM126" s="13">
        <v>0</v>
      </c>
      <c r="AN126" s="13">
        <v>0</v>
      </c>
      <c r="AO126" s="13">
        <v>2154</v>
      </c>
      <c r="AP126" s="13">
        <v>822</v>
      </c>
      <c r="AQ126" s="13">
        <v>-109</v>
      </c>
      <c r="AR126" s="13">
        <v>-241</v>
      </c>
      <c r="AS126" s="13">
        <v>-636</v>
      </c>
      <c r="AT126" s="13">
        <v>23</v>
      </c>
      <c r="AU126" s="13">
        <f t="shared" si="15"/>
        <v>2013</v>
      </c>
      <c r="AV126" s="13">
        <v>2468</v>
      </c>
      <c r="AW126" s="13">
        <v>589</v>
      </c>
      <c r="AX126" s="13">
        <v>-93</v>
      </c>
      <c r="AY126" s="13">
        <v>-208</v>
      </c>
      <c r="AZ126" s="13">
        <v>-614</v>
      </c>
      <c r="BA126" s="13">
        <f>14-2</f>
        <v>12</v>
      </c>
      <c r="BB126" s="13">
        <f t="shared" si="16"/>
        <v>2154</v>
      </c>
      <c r="BC126" s="13">
        <v>2</v>
      </c>
    </row>
    <row r="127" spans="1:55" x14ac:dyDescent="0.25">
      <c r="A127" s="7">
        <v>14</v>
      </c>
      <c r="B127" s="7" t="s">
        <v>223</v>
      </c>
      <c r="C127" s="7" t="s">
        <v>487</v>
      </c>
      <c r="D127" s="7" t="s">
        <v>35</v>
      </c>
      <c r="E127" s="7"/>
      <c r="F127" s="7" t="s">
        <v>27</v>
      </c>
      <c r="G127" s="13">
        <v>4316228</v>
      </c>
      <c r="H127" s="13">
        <v>4612</v>
      </c>
      <c r="I127" s="13">
        <v>304585</v>
      </c>
      <c r="J127" s="13">
        <v>1605792</v>
      </c>
      <c r="K127" s="13">
        <v>1026565</v>
      </c>
      <c r="L127" s="13">
        <v>1009058</v>
      </c>
      <c r="M127" s="13">
        <v>520311</v>
      </c>
      <c r="N127" s="13">
        <v>4668974</v>
      </c>
      <c r="O127" s="19">
        <v>0.12</v>
      </c>
      <c r="P127" s="13">
        <v>0</v>
      </c>
      <c r="Q127" s="21">
        <f>448158/4481580</f>
        <v>0.1</v>
      </c>
      <c r="R127" s="13">
        <v>446597</v>
      </c>
      <c r="S127" s="13">
        <v>0</v>
      </c>
      <c r="T127" s="13">
        <v>211242</v>
      </c>
      <c r="U127" s="13">
        <v>21802</v>
      </c>
      <c r="V127" s="13">
        <v>18255</v>
      </c>
      <c r="W127" s="13">
        <v>38663</v>
      </c>
      <c r="X127" s="13">
        <v>6050</v>
      </c>
      <c r="Y127" s="13">
        <v>9273</v>
      </c>
      <c r="Z127" s="13">
        <v>11307</v>
      </c>
      <c r="AA127" s="13">
        <f>7833+8990+9894</f>
        <v>26717</v>
      </c>
      <c r="AB127" s="13">
        <v>79</v>
      </c>
      <c r="AC127" s="13">
        <v>6953</v>
      </c>
      <c r="AD127" s="13">
        <v>4203</v>
      </c>
      <c r="AE127" s="13">
        <v>0</v>
      </c>
      <c r="AF127" s="13">
        <v>387539</v>
      </c>
      <c r="AG127" s="19">
        <f t="shared" si="14"/>
        <v>0</v>
      </c>
      <c r="AH127" s="13">
        <v>12878</v>
      </c>
      <c r="AI127" s="13">
        <v>104835</v>
      </c>
      <c r="AJ127" s="13">
        <v>0</v>
      </c>
      <c r="AK127" s="13">
        <v>12842</v>
      </c>
      <c r="AL127" s="13">
        <v>0</v>
      </c>
      <c r="AM127" s="13">
        <v>0</v>
      </c>
      <c r="AN127" s="13">
        <v>0</v>
      </c>
      <c r="AO127" s="13">
        <v>1567</v>
      </c>
      <c r="AP127" s="13">
        <v>190</v>
      </c>
      <c r="AQ127" s="13">
        <v>-62</v>
      </c>
      <c r="AR127" s="13">
        <v>-267</v>
      </c>
      <c r="AS127" s="13">
        <v>-427</v>
      </c>
      <c r="AT127" s="13">
        <v>-14</v>
      </c>
      <c r="AU127" s="13">
        <f t="shared" si="15"/>
        <v>987</v>
      </c>
      <c r="AV127" s="13">
        <v>1979</v>
      </c>
      <c r="AW127" s="13">
        <v>499</v>
      </c>
      <c r="AX127" s="13">
        <v>-60</v>
      </c>
      <c r="AY127" s="13">
        <v>-366</v>
      </c>
      <c r="AZ127" s="13">
        <v>-462</v>
      </c>
      <c r="BA127" s="13">
        <v>-23</v>
      </c>
      <c r="BB127" s="13">
        <f t="shared" si="16"/>
        <v>1567</v>
      </c>
      <c r="BC127" s="13">
        <v>6</v>
      </c>
    </row>
    <row r="128" spans="1:55" x14ac:dyDescent="0.25">
      <c r="A128" s="7">
        <v>14</v>
      </c>
      <c r="B128" s="7" t="s">
        <v>277</v>
      </c>
      <c r="C128" s="7" t="s">
        <v>374</v>
      </c>
      <c r="D128" s="7" t="s">
        <v>35</v>
      </c>
      <c r="E128" s="7"/>
      <c r="F128" s="7" t="s">
        <v>27</v>
      </c>
      <c r="G128" s="13">
        <v>14113068</v>
      </c>
      <c r="H128" s="13">
        <v>133596</v>
      </c>
      <c r="I128" s="13">
        <v>1027666</v>
      </c>
      <c r="J128" s="13">
        <v>4997626</v>
      </c>
      <c r="K128" s="13">
        <v>2964665</v>
      </c>
      <c r="L128" s="13">
        <v>2159913</v>
      </c>
      <c r="M128" s="13">
        <v>1234126</v>
      </c>
      <c r="N128" s="13">
        <v>11374691</v>
      </c>
      <c r="O128" s="19">
        <v>0.23</v>
      </c>
      <c r="P128" s="13">
        <v>0</v>
      </c>
      <c r="Q128" s="21">
        <f>770497/12142268</f>
        <v>6.3455772842437669E-2</v>
      </c>
      <c r="R128" s="13">
        <v>767577</v>
      </c>
      <c r="S128" s="13">
        <v>0</v>
      </c>
      <c r="T128" s="13">
        <v>402983</v>
      </c>
      <c r="U128" s="13">
        <v>34595</v>
      </c>
      <c r="V128" s="13">
        <v>53583</v>
      </c>
      <c r="W128" s="13">
        <v>55904</v>
      </c>
      <c r="X128" s="13">
        <v>1353</v>
      </c>
      <c r="Y128" s="13">
        <v>14382</v>
      </c>
      <c r="Z128" s="13">
        <v>43929</v>
      </c>
      <c r="AA128" s="13">
        <f>12045+25378+27220</f>
        <v>64643</v>
      </c>
      <c r="AB128" s="13">
        <v>4028</v>
      </c>
      <c r="AC128" s="13">
        <v>4530</v>
      </c>
      <c r="AD128" s="13">
        <v>16843</v>
      </c>
      <c r="AE128" s="13">
        <v>82616</v>
      </c>
      <c r="AF128" s="13">
        <v>759861</v>
      </c>
      <c r="AG128" s="19">
        <f t="shared" si="14"/>
        <v>0.10872514841530227</v>
      </c>
      <c r="AH128" s="13">
        <v>75719</v>
      </c>
      <c r="AI128" s="13">
        <v>124333</v>
      </c>
      <c r="AJ128" s="13">
        <v>0</v>
      </c>
      <c r="AK128" s="13">
        <v>114627</v>
      </c>
      <c r="AL128" s="13">
        <v>0</v>
      </c>
      <c r="AM128" s="13">
        <v>0</v>
      </c>
      <c r="AN128" s="13">
        <v>0</v>
      </c>
      <c r="AO128" s="13">
        <v>3825</v>
      </c>
      <c r="AP128" s="13">
        <v>2354</v>
      </c>
      <c r="AQ128" s="13">
        <v>-200</v>
      </c>
      <c r="AR128" s="13">
        <v>-949</v>
      </c>
      <c r="AS128" s="13">
        <v>-733</v>
      </c>
      <c r="AT128" s="13">
        <f>153+55-97</f>
        <v>111</v>
      </c>
      <c r="AU128" s="13">
        <f t="shared" si="15"/>
        <v>4408</v>
      </c>
      <c r="AV128" s="13">
        <v>3726</v>
      </c>
      <c r="AW128" s="13">
        <v>1525</v>
      </c>
      <c r="AX128" s="13">
        <v>-112</v>
      </c>
      <c r="AY128" s="13">
        <v>-1004</v>
      </c>
      <c r="AZ128" s="13">
        <v>-340</v>
      </c>
      <c r="BA128" s="13">
        <v>30</v>
      </c>
      <c r="BB128" s="13">
        <f t="shared" si="16"/>
        <v>3825</v>
      </c>
      <c r="BC128" s="13">
        <v>0</v>
      </c>
    </row>
    <row r="129" spans="1:55" x14ac:dyDescent="0.25">
      <c r="A129" s="7">
        <v>14</v>
      </c>
      <c r="B129" s="7" t="s">
        <v>387</v>
      </c>
      <c r="C129" s="7" t="s">
        <v>374</v>
      </c>
      <c r="D129" s="7" t="s">
        <v>35</v>
      </c>
      <c r="E129" s="7"/>
      <c r="F129" s="7" t="s">
        <v>27</v>
      </c>
      <c r="G129" s="13">
        <v>10462904</v>
      </c>
      <c r="H129" s="13">
        <v>52086</v>
      </c>
      <c r="I129" s="13">
        <v>1145980</v>
      </c>
      <c r="J129" s="13">
        <v>4039650</v>
      </c>
      <c r="K129" s="13">
        <v>1360486</v>
      </c>
      <c r="L129" s="13">
        <v>1473345</v>
      </c>
      <c r="M129" s="13">
        <v>1105183</v>
      </c>
      <c r="N129" s="13">
        <v>8726018</v>
      </c>
      <c r="O129" s="19">
        <v>0.18</v>
      </c>
      <c r="P129" s="13">
        <v>0</v>
      </c>
      <c r="Q129" s="21">
        <f>703041/8671617</f>
        <v>8.1073806649901631E-2</v>
      </c>
      <c r="R129" s="13">
        <v>691825</v>
      </c>
      <c r="S129" s="13">
        <v>0</v>
      </c>
      <c r="T129" s="13">
        <v>333570</v>
      </c>
      <c r="U129" s="13">
        <v>26663</v>
      </c>
      <c r="V129" s="13">
        <v>52783</v>
      </c>
      <c r="W129" s="13">
        <v>60491</v>
      </c>
      <c r="X129" s="13">
        <v>10775</v>
      </c>
      <c r="Y129" s="13">
        <v>16014</v>
      </c>
      <c r="Z129" s="13">
        <v>43600</v>
      </c>
      <c r="AA129" s="13">
        <f>7816+17310+16544</f>
        <v>41670</v>
      </c>
      <c r="AB129" s="13">
        <v>86</v>
      </c>
      <c r="AC129" s="13">
        <v>1942</v>
      </c>
      <c r="AD129" s="13">
        <v>21422</v>
      </c>
      <c r="AE129" s="13">
        <v>63134</v>
      </c>
      <c r="AF129" s="13">
        <v>681408</v>
      </c>
      <c r="AG129" s="19">
        <f t="shared" si="14"/>
        <v>9.2652272940734484E-2</v>
      </c>
      <c r="AH129" s="13">
        <v>92067</v>
      </c>
      <c r="AI129" s="13">
        <v>124333</v>
      </c>
      <c r="AJ129" s="13">
        <v>0</v>
      </c>
      <c r="AK129" s="13">
        <v>85068</v>
      </c>
      <c r="AL129" s="13">
        <v>0</v>
      </c>
      <c r="AM129" s="13">
        <v>0</v>
      </c>
      <c r="AN129" s="13">
        <v>0</v>
      </c>
      <c r="AO129" s="13">
        <v>2642</v>
      </c>
      <c r="AP129" s="13">
        <v>1726</v>
      </c>
      <c r="AQ129" s="13">
        <v>-134</v>
      </c>
      <c r="AR129" s="13">
        <v>-814</v>
      </c>
      <c r="AS129" s="13">
        <v>-483</v>
      </c>
      <c r="AT129" s="13">
        <f>100-145</f>
        <v>-45</v>
      </c>
      <c r="AU129" s="13">
        <f t="shared" si="15"/>
        <v>2892</v>
      </c>
      <c r="AV129" s="13">
        <v>3000</v>
      </c>
      <c r="AW129" s="13">
        <v>1279</v>
      </c>
      <c r="AX129" s="13">
        <v>-98</v>
      </c>
      <c r="AY129" s="13">
        <v>-811</v>
      </c>
      <c r="AZ129" s="13">
        <v>-728</v>
      </c>
      <c r="BA129" s="13">
        <v>0</v>
      </c>
      <c r="BB129" s="13">
        <f t="shared" si="16"/>
        <v>2642</v>
      </c>
      <c r="BC129" s="13">
        <v>2</v>
      </c>
    </row>
    <row r="130" spans="1:55" x14ac:dyDescent="0.25">
      <c r="A130" s="7">
        <v>14</v>
      </c>
      <c r="B130" s="7" t="s">
        <v>444</v>
      </c>
      <c r="C130" s="7" t="s">
        <v>533</v>
      </c>
      <c r="D130" s="7" t="s">
        <v>35</v>
      </c>
      <c r="E130" s="7"/>
      <c r="F130" s="7" t="s">
        <v>27</v>
      </c>
      <c r="G130" s="13">
        <v>206148</v>
      </c>
      <c r="H130" s="13">
        <v>1234</v>
      </c>
      <c r="I130" s="13">
        <v>0</v>
      </c>
      <c r="J130" s="13">
        <v>87570</v>
      </c>
      <c r="K130" s="13">
        <v>89473</v>
      </c>
      <c r="L130" s="13">
        <v>39844</v>
      </c>
      <c r="M130" s="13">
        <v>917</v>
      </c>
      <c r="N130" s="13">
        <v>261730</v>
      </c>
      <c r="O130" s="19">
        <v>0.48</v>
      </c>
      <c r="P130" s="13">
        <v>0</v>
      </c>
      <c r="Q130" s="21">
        <f>26173/261730</f>
        <v>0.1</v>
      </c>
      <c r="R130" s="13">
        <v>26698</v>
      </c>
      <c r="S130" s="13">
        <v>0</v>
      </c>
      <c r="T130" s="13">
        <v>7228</v>
      </c>
      <c r="U130" s="13">
        <v>410</v>
      </c>
      <c r="V130" s="13">
        <v>0</v>
      </c>
      <c r="W130" s="13">
        <v>6000</v>
      </c>
      <c r="X130" s="13">
        <v>0</v>
      </c>
      <c r="Y130" s="13">
        <v>3344</v>
      </c>
      <c r="Z130" s="13">
        <v>0</v>
      </c>
      <c r="AA130" s="13">
        <v>0</v>
      </c>
      <c r="AB130" s="13">
        <v>0</v>
      </c>
      <c r="AC130" s="13">
        <v>0</v>
      </c>
      <c r="AD130" s="13">
        <v>0</v>
      </c>
      <c r="AE130" s="13">
        <v>17588</v>
      </c>
      <c r="AF130" s="13">
        <v>21049</v>
      </c>
      <c r="AG130" s="19"/>
      <c r="AH130" s="13">
        <v>202</v>
      </c>
      <c r="AI130" s="13">
        <v>6598</v>
      </c>
      <c r="AJ130" s="13">
        <v>0</v>
      </c>
      <c r="AK130" s="13">
        <v>1265</v>
      </c>
      <c r="AL130" s="13">
        <v>0</v>
      </c>
      <c r="AM130" s="13">
        <v>0</v>
      </c>
      <c r="AN130" s="13">
        <v>0</v>
      </c>
      <c r="AO130" s="13">
        <v>85</v>
      </c>
      <c r="AP130" s="13">
        <v>0</v>
      </c>
      <c r="AQ130" s="13">
        <v>0</v>
      </c>
      <c r="AR130" s="13">
        <v>-11</v>
      </c>
      <c r="AS130" s="13">
        <v>-13</v>
      </c>
      <c r="AT130" s="13">
        <v>0</v>
      </c>
      <c r="AU130" s="13">
        <f t="shared" si="15"/>
        <v>61</v>
      </c>
      <c r="AV130" s="13">
        <v>125</v>
      </c>
      <c r="AW130" s="13">
        <v>0</v>
      </c>
      <c r="AX130" s="13">
        <v>-5</v>
      </c>
      <c r="AY130" s="13">
        <v>-15</v>
      </c>
      <c r="AZ130" s="13">
        <v>-20</v>
      </c>
      <c r="BA130" s="13">
        <v>0</v>
      </c>
      <c r="BB130" s="13">
        <f t="shared" si="16"/>
        <v>85</v>
      </c>
      <c r="BC130" s="13">
        <v>5</v>
      </c>
    </row>
    <row r="131" spans="1:55" x14ac:dyDescent="0.25">
      <c r="A131" s="7">
        <v>15</v>
      </c>
      <c r="B131" s="7" t="s">
        <v>209</v>
      </c>
      <c r="C131" s="7" t="s">
        <v>205</v>
      </c>
      <c r="D131" s="7" t="s">
        <v>201</v>
      </c>
      <c r="E131" s="17"/>
      <c r="F131" s="17" t="s">
        <v>197</v>
      </c>
      <c r="G131" s="13">
        <v>733524</v>
      </c>
      <c r="H131" s="13">
        <v>5776</v>
      </c>
      <c r="I131" s="13">
        <v>44356</v>
      </c>
      <c r="J131" s="13">
        <v>227510</v>
      </c>
      <c r="K131" s="13">
        <v>8766</v>
      </c>
      <c r="L131" s="13">
        <v>262226</v>
      </c>
      <c r="M131" s="13">
        <v>8322</v>
      </c>
      <c r="N131" s="13">
        <v>562885</v>
      </c>
      <c r="O131" s="19">
        <v>0.41139999999999999</v>
      </c>
      <c r="P131" s="13">
        <v>0</v>
      </c>
      <c r="Q131" s="21">
        <f>56208/562080</f>
        <v>0.1</v>
      </c>
      <c r="R131" s="13">
        <v>55256</v>
      </c>
      <c r="S131" s="13">
        <v>0</v>
      </c>
      <c r="T131" s="13">
        <v>19054</v>
      </c>
      <c r="U131" s="13">
        <v>1732</v>
      </c>
      <c r="V131" s="13">
        <v>150</v>
      </c>
      <c r="W131" s="13">
        <v>7238</v>
      </c>
      <c r="X131" s="13">
        <v>0</v>
      </c>
      <c r="Y131" s="13">
        <v>0</v>
      </c>
      <c r="Z131" s="13">
        <v>1300</v>
      </c>
      <c r="AA131" s="13">
        <f>1396+512+576</f>
        <v>2484</v>
      </c>
      <c r="AB131" s="13">
        <v>20</v>
      </c>
      <c r="AC131" s="13">
        <v>650</v>
      </c>
      <c r="AD131" s="13">
        <v>0</v>
      </c>
      <c r="AE131" s="13">
        <v>1950</v>
      </c>
      <c r="AF131" s="13">
        <v>36466</v>
      </c>
      <c r="AG131" s="19">
        <f t="shared" ref="AG131:AG162" si="17">AE131/AF131</f>
        <v>5.3474469368727032E-2</v>
      </c>
      <c r="AH131" s="13">
        <v>0</v>
      </c>
      <c r="AI131" s="13">
        <v>25540</v>
      </c>
      <c r="AJ131" s="13">
        <v>0</v>
      </c>
      <c r="AK131" s="13">
        <v>0</v>
      </c>
      <c r="AL131" s="13">
        <v>0</v>
      </c>
      <c r="AM131" s="13">
        <v>0</v>
      </c>
      <c r="AN131" s="13">
        <v>0</v>
      </c>
      <c r="AO131" s="13">
        <v>200</v>
      </c>
      <c r="AP131" s="13">
        <v>232</v>
      </c>
      <c r="AQ131" s="13">
        <v>-33</v>
      </c>
      <c r="AR131" s="13">
        <v>-69</v>
      </c>
      <c r="AS131" s="13">
        <v>-22</v>
      </c>
      <c r="AT131" s="13">
        <v>0</v>
      </c>
      <c r="AU131" s="13">
        <f t="shared" si="15"/>
        <v>308</v>
      </c>
      <c r="AV131" s="13">
        <v>195</v>
      </c>
      <c r="AW131" s="13">
        <v>122</v>
      </c>
      <c r="AX131" s="13">
        <v>0</v>
      </c>
      <c r="AY131" s="13">
        <v>-84</v>
      </c>
      <c r="AZ131" s="13">
        <v>-33</v>
      </c>
      <c r="BA131" s="13">
        <v>0</v>
      </c>
      <c r="BB131" s="13">
        <f t="shared" si="16"/>
        <v>200</v>
      </c>
      <c r="BC131" s="13">
        <v>8</v>
      </c>
    </row>
    <row r="132" spans="1:55" x14ac:dyDescent="0.25">
      <c r="A132" s="7">
        <v>15</v>
      </c>
      <c r="B132" s="7" t="s">
        <v>443</v>
      </c>
      <c r="C132" s="7" t="s">
        <v>420</v>
      </c>
      <c r="D132" s="7" t="s">
        <v>73</v>
      </c>
      <c r="E132" s="17" t="s">
        <v>449</v>
      </c>
      <c r="F132" s="17" t="s">
        <v>74</v>
      </c>
      <c r="G132" s="13">
        <v>18097776</v>
      </c>
      <c r="H132" s="13">
        <v>48211</v>
      </c>
      <c r="I132" s="13">
        <v>784726</v>
      </c>
      <c r="J132" s="13">
        <v>7101933</v>
      </c>
      <c r="K132" s="13">
        <v>2669405</v>
      </c>
      <c r="L132" s="13">
        <v>4715898</v>
      </c>
      <c r="M132" s="13">
        <v>1654202</v>
      </c>
      <c r="N132" s="13">
        <v>17101318</v>
      </c>
      <c r="O132" s="19">
        <v>0.08</v>
      </c>
      <c r="P132" s="13">
        <v>0</v>
      </c>
      <c r="Q132" s="21">
        <f>898151/17086668</f>
        <v>5.2564432105779782E-2</v>
      </c>
      <c r="R132" s="13">
        <v>897863</v>
      </c>
      <c r="S132" s="13">
        <v>0</v>
      </c>
      <c r="T132" s="13">
        <v>461812</v>
      </c>
      <c r="U132" s="13">
        <v>41031</v>
      </c>
      <c r="V132" s="13">
        <v>73637</v>
      </c>
      <c r="W132" s="13">
        <f>89685+554</f>
        <v>90239</v>
      </c>
      <c r="X132" s="13">
        <v>3000</v>
      </c>
      <c r="Y132" s="13">
        <v>17384</v>
      </c>
      <c r="Z132" s="13">
        <v>0</v>
      </c>
      <c r="AA132" s="13">
        <f>9941+53932+32180</f>
        <v>96053</v>
      </c>
      <c r="AB132" s="13">
        <v>7364</v>
      </c>
      <c r="AC132" s="13">
        <v>1024</v>
      </c>
      <c r="AD132" s="13">
        <v>32998</v>
      </c>
      <c r="AE132" s="13">
        <v>0</v>
      </c>
      <c r="AF132" s="13">
        <v>861050</v>
      </c>
      <c r="AG132" s="19">
        <f t="shared" si="17"/>
        <v>0</v>
      </c>
      <c r="AH132" s="13">
        <v>94995</v>
      </c>
      <c r="AI132" s="13">
        <v>124333</v>
      </c>
      <c r="AJ132" s="13">
        <v>0</v>
      </c>
      <c r="AK132" s="13">
        <v>119032</v>
      </c>
      <c r="AL132" s="13">
        <v>0</v>
      </c>
      <c r="AM132" s="13">
        <v>0</v>
      </c>
      <c r="AN132" s="13">
        <v>0</v>
      </c>
      <c r="AO132" s="13">
        <v>4711</v>
      </c>
      <c r="AP132" s="13">
        <v>2236</v>
      </c>
      <c r="AQ132" s="13">
        <v>-331</v>
      </c>
      <c r="AR132" s="13">
        <v>-1150</v>
      </c>
      <c r="AS132" s="13">
        <v>-1043</v>
      </c>
      <c r="AT132" s="13">
        <v>15</v>
      </c>
      <c r="AU132" s="13">
        <f t="shared" si="15"/>
        <v>4438</v>
      </c>
      <c r="AV132" s="13">
        <v>5194</v>
      </c>
      <c r="AW132" s="13">
        <v>1758</v>
      </c>
      <c r="AX132" s="13">
        <v>-317</v>
      </c>
      <c r="AY132" s="13">
        <v>-1109</v>
      </c>
      <c r="AZ132" s="13">
        <v>-829</v>
      </c>
      <c r="BA132" s="13">
        <f>15-1</f>
        <v>14</v>
      </c>
      <c r="BB132" s="13">
        <f t="shared" si="16"/>
        <v>4711</v>
      </c>
      <c r="BC132" s="13">
        <v>26</v>
      </c>
    </row>
    <row r="133" spans="1:55" x14ac:dyDescent="0.25">
      <c r="A133" s="7">
        <v>15</v>
      </c>
      <c r="B133" s="7" t="s">
        <v>519</v>
      </c>
      <c r="C133" s="7" t="s">
        <v>420</v>
      </c>
      <c r="D133" s="7" t="s">
        <v>73</v>
      </c>
      <c r="E133" s="17" t="s">
        <v>449</v>
      </c>
      <c r="F133" s="17" t="s">
        <v>74</v>
      </c>
      <c r="G133" s="13">
        <v>12783001</v>
      </c>
      <c r="H133" s="13">
        <v>30806</v>
      </c>
      <c r="I133" s="13">
        <v>519454</v>
      </c>
      <c r="J133" s="13">
        <v>5064186</v>
      </c>
      <c r="K133" s="13">
        <v>2211459</v>
      </c>
      <c r="L133" s="13">
        <v>2980694</v>
      </c>
      <c r="M133" s="13">
        <v>1325366</v>
      </c>
      <c r="N133" s="13">
        <v>12359764</v>
      </c>
      <c r="O133" s="19">
        <v>0.1</v>
      </c>
      <c r="P133" s="13">
        <v>118116</v>
      </c>
      <c r="Q133" s="21">
        <f>731979/12199645</f>
        <v>6.000002459087949E-2</v>
      </c>
      <c r="R133" s="13">
        <v>736040</v>
      </c>
      <c r="S133" s="13">
        <v>0</v>
      </c>
      <c r="T133" s="13">
        <v>308822</v>
      </c>
      <c r="U133" s="13">
        <v>27577</v>
      </c>
      <c r="V133" s="13">
        <v>34103</v>
      </c>
      <c r="W133" s="13">
        <v>48436</v>
      </c>
      <c r="X133" s="13"/>
      <c r="Y133" s="13">
        <v>37072</v>
      </c>
      <c r="Z133" s="13">
        <v>11676</v>
      </c>
      <c r="AA133" s="13">
        <f>4078+40676+35674</f>
        <v>80428</v>
      </c>
      <c r="AB133" s="13">
        <v>7666</v>
      </c>
      <c r="AC133" s="13">
        <v>506</v>
      </c>
      <c r="AD133" s="13">
        <v>10222</v>
      </c>
      <c r="AE133" s="13">
        <v>0</v>
      </c>
      <c r="AF133" s="13">
        <v>637242</v>
      </c>
      <c r="AG133" s="19">
        <f t="shared" si="17"/>
        <v>0</v>
      </c>
      <c r="AH133" s="13">
        <v>118717</v>
      </c>
      <c r="AI133" s="13">
        <v>93250</v>
      </c>
      <c r="AJ133" s="13">
        <v>406</v>
      </c>
      <c r="AK133" s="13">
        <v>199657</v>
      </c>
      <c r="AL133" s="13">
        <v>91326</v>
      </c>
      <c r="AM133" s="13">
        <v>0</v>
      </c>
      <c r="AN133" s="13">
        <v>0</v>
      </c>
      <c r="AO133" s="13">
        <v>3942</v>
      </c>
      <c r="AP133" s="13">
        <v>1783</v>
      </c>
      <c r="AQ133" s="13">
        <v>-243</v>
      </c>
      <c r="AR133" s="13">
        <v>-895</v>
      </c>
      <c r="AS133" s="13">
        <v>-459</v>
      </c>
      <c r="AT133" s="13"/>
      <c r="AU133" s="13">
        <f t="shared" si="15"/>
        <v>4128</v>
      </c>
      <c r="AV133" s="13">
        <v>3998</v>
      </c>
      <c r="AW133" s="13">
        <v>1891</v>
      </c>
      <c r="AX133" s="13">
        <v>-249</v>
      </c>
      <c r="AY133" s="13">
        <v>-986</v>
      </c>
      <c r="AZ133" s="13">
        <v>-710</v>
      </c>
      <c r="BA133" s="13">
        <v>-2</v>
      </c>
      <c r="BB133" s="13">
        <f t="shared" si="16"/>
        <v>3942</v>
      </c>
      <c r="BC133" s="13">
        <v>26</v>
      </c>
    </row>
    <row r="134" spans="1:55" x14ac:dyDescent="0.25">
      <c r="A134" s="7">
        <v>16</v>
      </c>
      <c r="B134" s="7" t="s">
        <v>98</v>
      </c>
      <c r="C134" s="7" t="s">
        <v>425</v>
      </c>
      <c r="D134" s="7" t="s">
        <v>73</v>
      </c>
      <c r="E134" s="17" t="s">
        <v>80</v>
      </c>
      <c r="F134" s="17" t="s">
        <v>74</v>
      </c>
      <c r="G134" s="13">
        <v>29159955</v>
      </c>
      <c r="H134" s="13">
        <v>59427</v>
      </c>
      <c r="I134" s="13">
        <v>933378</v>
      </c>
      <c r="J134" s="13">
        <v>12859769</v>
      </c>
      <c r="K134" s="13">
        <v>6714338</v>
      </c>
      <c r="L134" s="13">
        <v>5100463</v>
      </c>
      <c r="M134" s="13">
        <v>1770051</v>
      </c>
      <c r="N134" s="13">
        <v>27841502</v>
      </c>
      <c r="O134" s="19">
        <v>0.06</v>
      </c>
      <c r="P134" s="13">
        <v>0</v>
      </c>
      <c r="Q134" s="21">
        <f>1365937/27813962</f>
        <v>4.9109760055039982E-2</v>
      </c>
      <c r="R134" s="13">
        <v>1369341</v>
      </c>
      <c r="S134" s="13">
        <v>0</v>
      </c>
      <c r="T134" s="13">
        <v>669161</v>
      </c>
      <c r="U134" s="13">
        <v>60001</v>
      </c>
      <c r="V134" s="13">
        <v>74082</v>
      </c>
      <c r="W134" s="13">
        <v>215074</v>
      </c>
      <c r="X134" s="13">
        <v>13501</v>
      </c>
      <c r="Y134" s="13">
        <v>20059</v>
      </c>
      <c r="Z134" s="13">
        <v>4376</v>
      </c>
      <c r="AA134" s="13">
        <f>23429+43120+44085</f>
        <v>110634</v>
      </c>
      <c r="AB134" s="13">
        <v>10523</v>
      </c>
      <c r="AC134" s="13">
        <v>25900</v>
      </c>
      <c r="AD134" s="13">
        <v>133309</v>
      </c>
      <c r="AE134" s="13">
        <v>50</v>
      </c>
      <c r="AF134" s="13">
        <v>1455597</v>
      </c>
      <c r="AG134" s="19">
        <f t="shared" si="17"/>
        <v>3.4350166976161672E-5</v>
      </c>
      <c r="AH134" s="13">
        <v>161541</v>
      </c>
      <c r="AI134" s="13">
        <v>124333</v>
      </c>
      <c r="AJ134" s="13">
        <v>0</v>
      </c>
      <c r="AK134" s="13">
        <v>168500</v>
      </c>
      <c r="AL134" s="13">
        <v>0</v>
      </c>
      <c r="AM134" s="13">
        <v>0</v>
      </c>
      <c r="AN134" s="13">
        <v>0</v>
      </c>
      <c r="AO134" s="13">
        <v>3585</v>
      </c>
      <c r="AP134" s="13">
        <v>5502</v>
      </c>
      <c r="AQ134" s="13">
        <v>-747</v>
      </c>
      <c r="AR134" s="13">
        <v>-4396</v>
      </c>
      <c r="AS134" s="13">
        <v>-556</v>
      </c>
      <c r="AT134" s="13">
        <v>1869</v>
      </c>
      <c r="AU134" s="13">
        <f t="shared" si="15"/>
        <v>5257</v>
      </c>
      <c r="AV134" s="13">
        <v>3949</v>
      </c>
      <c r="AW134" s="13">
        <v>3299</v>
      </c>
      <c r="AX134" s="13">
        <v>-536</v>
      </c>
      <c r="AY134" s="13">
        <v>-2759</v>
      </c>
      <c r="AZ134" s="13">
        <v>-368</v>
      </c>
      <c r="BA134" s="13"/>
      <c r="BB134" s="13">
        <f t="shared" si="16"/>
        <v>3585</v>
      </c>
      <c r="BC134" s="13">
        <v>5</v>
      </c>
    </row>
    <row r="135" spans="1:55" x14ac:dyDescent="0.25">
      <c r="A135" s="7">
        <v>16</v>
      </c>
      <c r="B135" s="7" t="s">
        <v>115</v>
      </c>
      <c r="C135" s="7" t="s">
        <v>260</v>
      </c>
      <c r="D135" s="7" t="s">
        <v>73</v>
      </c>
      <c r="E135" s="17" t="s">
        <v>80</v>
      </c>
      <c r="F135" s="17" t="s">
        <v>74</v>
      </c>
      <c r="G135" s="13">
        <v>22259166</v>
      </c>
      <c r="H135" s="13">
        <v>27627</v>
      </c>
      <c r="I135" s="13">
        <v>1287220</v>
      </c>
      <c r="J135" s="13">
        <v>11043831</v>
      </c>
      <c r="K135" s="13">
        <v>3906737</v>
      </c>
      <c r="L135" s="13">
        <v>2527032</v>
      </c>
      <c r="M135" s="13">
        <v>1810122</v>
      </c>
      <c r="N135" s="13">
        <v>20465092</v>
      </c>
      <c r="O135" s="19">
        <v>5.8000000000000003E-2</v>
      </c>
      <c r="P135" s="13">
        <v>0</v>
      </c>
      <c r="Q135" s="21">
        <f>1142286/20429417</f>
        <v>5.5913783540665896E-2</v>
      </c>
      <c r="R135" s="13">
        <v>1141695</v>
      </c>
      <c r="S135" s="13">
        <v>0</v>
      </c>
      <c r="T135" s="13">
        <v>574353</v>
      </c>
      <c r="U135" s="13">
        <v>48991</v>
      </c>
      <c r="V135" s="13">
        <v>75956</v>
      </c>
      <c r="W135" s="13">
        <v>112277</v>
      </c>
      <c r="X135" s="13">
        <v>36000</v>
      </c>
      <c r="Y135" s="13">
        <v>22876</v>
      </c>
      <c r="Z135" s="13">
        <v>15900</v>
      </c>
      <c r="AA135" s="13">
        <f>12305+33000+54488</f>
        <v>99793</v>
      </c>
      <c r="AB135" s="13">
        <v>6192</v>
      </c>
      <c r="AC135" s="13">
        <v>14087</v>
      </c>
      <c r="AD135" s="13">
        <v>34010</v>
      </c>
      <c r="AE135" s="13">
        <v>51000</v>
      </c>
      <c r="AF135" s="13">
        <v>1113281</v>
      </c>
      <c r="AG135" s="19">
        <f t="shared" si="17"/>
        <v>4.5810536603067865E-2</v>
      </c>
      <c r="AH135" s="13">
        <v>182899</v>
      </c>
      <c r="AI135" s="13">
        <v>124333</v>
      </c>
      <c r="AJ135" s="13">
        <v>0</v>
      </c>
      <c r="AK135" s="13">
        <v>151238</v>
      </c>
      <c r="AL135" s="13">
        <v>0</v>
      </c>
      <c r="AM135" s="13">
        <v>0</v>
      </c>
      <c r="AN135" s="13">
        <v>0</v>
      </c>
      <c r="AO135" s="13">
        <v>4034</v>
      </c>
      <c r="AP135" s="13">
        <v>5749</v>
      </c>
      <c r="AQ135" s="13">
        <v>-583</v>
      </c>
      <c r="AR135" s="13">
        <v>-4344</v>
      </c>
      <c r="AS135" s="13">
        <v>-725</v>
      </c>
      <c r="AT135" s="13">
        <v>62</v>
      </c>
      <c r="AU135" s="13">
        <f t="shared" si="15"/>
        <v>4193</v>
      </c>
      <c r="AV135" s="13">
        <v>3821</v>
      </c>
      <c r="AW135" s="13">
        <v>5049</v>
      </c>
      <c r="AX135" s="13">
        <v>-461</v>
      </c>
      <c r="AY135" s="13">
        <v>-4124</v>
      </c>
      <c r="AZ135" s="13">
        <v>-314</v>
      </c>
      <c r="BA135" s="13">
        <v>63</v>
      </c>
      <c r="BB135" s="13">
        <f t="shared" si="16"/>
        <v>4034</v>
      </c>
      <c r="BC135" s="13">
        <v>0</v>
      </c>
    </row>
    <row r="136" spans="1:55" x14ac:dyDescent="0.25">
      <c r="A136" s="7">
        <v>16</v>
      </c>
      <c r="B136" s="7" t="s">
        <v>138</v>
      </c>
      <c r="C136" s="7" t="s">
        <v>260</v>
      </c>
      <c r="D136" s="7" t="s">
        <v>73</v>
      </c>
      <c r="E136" s="17" t="s">
        <v>80</v>
      </c>
      <c r="F136" s="17" t="s">
        <v>74</v>
      </c>
      <c r="G136" s="13">
        <v>17439285</v>
      </c>
      <c r="H136" s="13">
        <v>60226</v>
      </c>
      <c r="I136" s="13">
        <v>1517891</v>
      </c>
      <c r="J136" s="13">
        <v>8040958</v>
      </c>
      <c r="K136" s="13">
        <v>2376055</v>
      </c>
      <c r="L136" s="13">
        <v>2600131</v>
      </c>
      <c r="M136" s="13">
        <v>1566039</v>
      </c>
      <c r="N136" s="13">
        <v>15691096</v>
      </c>
      <c r="O136" s="19">
        <v>0.13</v>
      </c>
      <c r="P136" s="13">
        <v>306403</v>
      </c>
      <c r="Q136" s="21">
        <f>1046426/15323515</f>
        <v>6.8288901077853223E-2</v>
      </c>
      <c r="R136" s="13">
        <v>1046735</v>
      </c>
      <c r="S136" s="13">
        <v>0</v>
      </c>
      <c r="T136" s="13">
        <v>551737</v>
      </c>
      <c r="U136" s="13">
        <v>51124</v>
      </c>
      <c r="V136" s="13">
        <v>88557</v>
      </c>
      <c r="W136" s="13">
        <v>109869</v>
      </c>
      <c r="X136" s="13">
        <v>9618</v>
      </c>
      <c r="Y136" s="13">
        <v>19173</v>
      </c>
      <c r="Z136" s="13">
        <v>3293</v>
      </c>
      <c r="AA136" s="13">
        <f>16372+32081+46207</f>
        <v>94660</v>
      </c>
      <c r="AB136" s="13">
        <v>16515</v>
      </c>
      <c r="AC136" s="13">
        <v>3046</v>
      </c>
      <c r="AD136" s="13">
        <v>41053</v>
      </c>
      <c r="AE136" s="13">
        <v>0</v>
      </c>
      <c r="AF136" s="13">
        <v>1057233</v>
      </c>
      <c r="AG136" s="19">
        <f t="shared" si="17"/>
        <v>0</v>
      </c>
      <c r="AH136" s="13">
        <v>155918</v>
      </c>
      <c r="AI136" s="13">
        <v>124333</v>
      </c>
      <c r="AJ136" s="13">
        <v>0</v>
      </c>
      <c r="AK136" s="13">
        <v>150690</v>
      </c>
      <c r="AL136" s="13">
        <v>0</v>
      </c>
      <c r="AM136" s="13">
        <v>0</v>
      </c>
      <c r="AN136" s="13">
        <v>0</v>
      </c>
      <c r="AO136" s="13">
        <v>3307</v>
      </c>
      <c r="AP136" s="13">
        <v>5768</v>
      </c>
      <c r="AQ136" s="13">
        <v>-600</v>
      </c>
      <c r="AR136" s="13">
        <v>-4475</v>
      </c>
      <c r="AS136" s="13">
        <v>-350</v>
      </c>
      <c r="AT136" s="13">
        <f>88+69-3</f>
        <v>154</v>
      </c>
      <c r="AU136" s="13">
        <f t="shared" si="15"/>
        <v>3804</v>
      </c>
      <c r="AV136" s="13">
        <v>3409</v>
      </c>
      <c r="AW136" s="13">
        <v>4564</v>
      </c>
      <c r="AX136" s="13">
        <v>-470</v>
      </c>
      <c r="AY136" s="13">
        <v>-3951</v>
      </c>
      <c r="AZ136" s="13">
        <v>-290</v>
      </c>
      <c r="BA136" s="13">
        <f>1+49-4-1</f>
        <v>45</v>
      </c>
      <c r="BB136" s="13">
        <f t="shared" si="16"/>
        <v>3307</v>
      </c>
      <c r="BC136" s="13">
        <v>1</v>
      </c>
    </row>
    <row r="137" spans="1:55" x14ac:dyDescent="0.25">
      <c r="A137" s="7">
        <v>17</v>
      </c>
      <c r="B137" s="7" t="s">
        <v>64</v>
      </c>
      <c r="C137" s="7" t="s">
        <v>339</v>
      </c>
      <c r="D137" s="7" t="s">
        <v>73</v>
      </c>
      <c r="E137" s="17" t="s">
        <v>331</v>
      </c>
      <c r="F137" s="17" t="s">
        <v>74</v>
      </c>
      <c r="G137" s="13">
        <v>32163392</v>
      </c>
      <c r="H137" s="13">
        <v>109632</v>
      </c>
      <c r="I137" s="13">
        <v>1301209</v>
      </c>
      <c r="J137" s="13">
        <v>15269744</v>
      </c>
      <c r="K137" s="13">
        <v>5294304</v>
      </c>
      <c r="L137" s="13">
        <v>5256700</v>
      </c>
      <c r="M137" s="13">
        <v>2057165</v>
      </c>
      <c r="N137" s="13">
        <v>29606213</v>
      </c>
      <c r="O137" s="19">
        <v>0.08</v>
      </c>
      <c r="P137" s="13">
        <v>0</v>
      </c>
      <c r="Q137" s="21">
        <f>1648636/29606213</f>
        <v>5.5685473856450333E-2</v>
      </c>
      <c r="R137" s="13">
        <v>1649896</v>
      </c>
      <c r="S137" s="13">
        <v>0</v>
      </c>
      <c r="T137" s="13">
        <v>932292</v>
      </c>
      <c r="U137" s="13">
        <v>82940</v>
      </c>
      <c r="V137" s="13">
        <v>124279</v>
      </c>
      <c r="W137" s="13">
        <v>191798</v>
      </c>
      <c r="X137" s="13">
        <v>4134</v>
      </c>
      <c r="Y137" s="13">
        <v>20799</v>
      </c>
      <c r="Z137" s="13">
        <v>1300</v>
      </c>
      <c r="AA137" s="13">
        <f>31466+105686+88194</f>
        <v>225346</v>
      </c>
      <c r="AB137" s="13">
        <v>6526</v>
      </c>
      <c r="AC137" s="13">
        <v>7375</v>
      </c>
      <c r="AD137" s="13">
        <v>51559</v>
      </c>
      <c r="AE137" s="13">
        <v>0</v>
      </c>
      <c r="AF137" s="13">
        <v>1723665</v>
      </c>
      <c r="AG137" s="19">
        <f t="shared" si="17"/>
        <v>0</v>
      </c>
      <c r="AH137" s="13">
        <v>222977</v>
      </c>
      <c r="AI137" s="13">
        <v>124333</v>
      </c>
      <c r="AJ137" s="13">
        <v>0</v>
      </c>
      <c r="AK137" s="13">
        <v>187972</v>
      </c>
      <c r="AL137" s="13">
        <v>0</v>
      </c>
      <c r="AM137" s="13">
        <v>0</v>
      </c>
      <c r="AN137" s="13">
        <v>0</v>
      </c>
      <c r="AO137" s="13">
        <v>5701</v>
      </c>
      <c r="AP137" s="13">
        <v>3738</v>
      </c>
      <c r="AQ137" s="13">
        <v>-385</v>
      </c>
      <c r="AR137" s="13">
        <v>-1658</v>
      </c>
      <c r="AS137" s="13">
        <v>-1108</v>
      </c>
      <c r="AT137" s="13">
        <v>1</v>
      </c>
      <c r="AU137" s="13">
        <f t="shared" si="15"/>
        <v>6289</v>
      </c>
      <c r="AV137" s="13"/>
      <c r="AW137" s="13"/>
      <c r="AX137" s="13"/>
      <c r="AY137" s="13"/>
      <c r="AZ137" s="13"/>
      <c r="BA137" s="13"/>
      <c r="BB137" s="13">
        <f t="shared" si="16"/>
        <v>0</v>
      </c>
      <c r="BC137" s="13">
        <v>70</v>
      </c>
    </row>
    <row r="138" spans="1:55" x14ac:dyDescent="0.25">
      <c r="A138" s="7">
        <v>17</v>
      </c>
      <c r="B138" s="7" t="s">
        <v>70</v>
      </c>
      <c r="C138" s="7" t="s">
        <v>421</v>
      </c>
      <c r="D138" s="7" t="s">
        <v>73</v>
      </c>
      <c r="E138" s="17" t="s">
        <v>331</v>
      </c>
      <c r="F138" s="17" t="s">
        <v>74</v>
      </c>
      <c r="G138" s="13">
        <v>12411384</v>
      </c>
      <c r="H138" s="13">
        <v>17302</v>
      </c>
      <c r="I138" s="13">
        <v>379778</v>
      </c>
      <c r="J138" s="13">
        <v>4385434</v>
      </c>
      <c r="K138" s="13">
        <v>2464936</v>
      </c>
      <c r="L138" s="13">
        <v>2669215</v>
      </c>
      <c r="M138" s="13">
        <v>1248907</v>
      </c>
      <c r="N138" s="13">
        <v>11804462</v>
      </c>
      <c r="O138" s="19">
        <v>7.6999999999999999E-2</v>
      </c>
      <c r="P138" s="13">
        <v>0</v>
      </c>
      <c r="Q138" s="21">
        <f>1001179/11778576</f>
        <v>8.5000003395996254E-2</v>
      </c>
      <c r="R138" s="13">
        <v>1003152</v>
      </c>
      <c r="S138" s="13">
        <v>0</v>
      </c>
      <c r="T138" s="13">
        <v>485914</v>
      </c>
      <c r="U138" s="13">
        <v>46240</v>
      </c>
      <c r="V138" s="13">
        <v>51033</v>
      </c>
      <c r="W138" s="13">
        <v>109841</v>
      </c>
      <c r="X138" s="13">
        <v>4580</v>
      </c>
      <c r="Y138" s="13">
        <v>22690</v>
      </c>
      <c r="Z138" s="13">
        <v>29713</v>
      </c>
      <c r="AA138" s="13">
        <f>14681+35137+32541</f>
        <v>82359</v>
      </c>
      <c r="AB138" s="13">
        <v>4073</v>
      </c>
      <c r="AC138" s="13">
        <v>1130</v>
      </c>
      <c r="AD138" s="13">
        <v>18107</v>
      </c>
      <c r="AE138" s="13">
        <v>0</v>
      </c>
      <c r="AF138" s="13">
        <v>911567</v>
      </c>
      <c r="AG138" s="19">
        <f t="shared" si="17"/>
        <v>0</v>
      </c>
      <c r="AH138" s="13">
        <v>104953</v>
      </c>
      <c r="AI138" s="13">
        <v>124333</v>
      </c>
      <c r="AJ138" s="13">
        <v>0</v>
      </c>
      <c r="AK138" s="13">
        <v>117201</v>
      </c>
      <c r="AL138" s="13">
        <v>0</v>
      </c>
      <c r="AM138" s="13">
        <v>0</v>
      </c>
      <c r="AN138" s="13">
        <v>0</v>
      </c>
      <c r="AO138" s="13">
        <v>3336</v>
      </c>
      <c r="AP138" s="13">
        <v>1421</v>
      </c>
      <c r="AQ138" s="13">
        <v>-124</v>
      </c>
      <c r="AR138" s="13">
        <v>-696</v>
      </c>
      <c r="AS138" s="13">
        <v>-663</v>
      </c>
      <c r="AT138" s="13">
        <v>-3</v>
      </c>
      <c r="AU138" s="13">
        <f t="shared" si="15"/>
        <v>3271</v>
      </c>
      <c r="AV138" s="13">
        <v>3674</v>
      </c>
      <c r="AW138" s="13">
        <v>1211</v>
      </c>
      <c r="AX138" s="13">
        <v>-131</v>
      </c>
      <c r="AY138" s="13">
        <v>-693</v>
      </c>
      <c r="AZ138" s="13">
        <v>-724</v>
      </c>
      <c r="BA138" s="13">
        <v>-1</v>
      </c>
      <c r="BB138" s="13">
        <f t="shared" si="16"/>
        <v>3336</v>
      </c>
      <c r="BC138" s="13">
        <v>124</v>
      </c>
    </row>
    <row r="139" spans="1:55" x14ac:dyDescent="0.25">
      <c r="A139" s="7">
        <v>17</v>
      </c>
      <c r="B139" s="7" t="s">
        <v>128</v>
      </c>
      <c r="C139" s="7" t="s">
        <v>422</v>
      </c>
      <c r="D139" s="7" t="s">
        <v>73</v>
      </c>
      <c r="E139" s="17" t="s">
        <v>331</v>
      </c>
      <c r="F139" s="17" t="s">
        <v>74</v>
      </c>
      <c r="G139" s="13">
        <v>6903030</v>
      </c>
      <c r="H139" s="13">
        <v>6110</v>
      </c>
      <c r="I139" s="13">
        <v>167757</v>
      </c>
      <c r="J139" s="13">
        <v>2800260</v>
      </c>
      <c r="K139" s="13">
        <v>1237961</v>
      </c>
      <c r="L139" s="13">
        <v>1045677</v>
      </c>
      <c r="M139" s="13">
        <v>898817</v>
      </c>
      <c r="N139" s="13">
        <v>6318996</v>
      </c>
      <c r="O139" s="19">
        <v>0.28299999999999997</v>
      </c>
      <c r="P139" s="13">
        <v>0</v>
      </c>
      <c r="Q139" s="21">
        <f>321869/6318996</f>
        <v>5.0936731088293143E-2</v>
      </c>
      <c r="R139" s="13">
        <v>321371</v>
      </c>
      <c r="S139" s="13">
        <v>0</v>
      </c>
      <c r="T139" s="13">
        <v>197470</v>
      </c>
      <c r="U139" s="13">
        <v>16400</v>
      </c>
      <c r="V139" s="13">
        <v>12607</v>
      </c>
      <c r="W139" s="13">
        <v>46332</v>
      </c>
      <c r="X139" s="13">
        <v>0</v>
      </c>
      <c r="Y139" s="13">
        <v>6069</v>
      </c>
      <c r="Z139" s="13">
        <v>3800</v>
      </c>
      <c r="AA139" s="13">
        <f>4432+14982+23436</f>
        <v>42850</v>
      </c>
      <c r="AB139" s="13">
        <v>782</v>
      </c>
      <c r="AC139" s="13">
        <v>9510</v>
      </c>
      <c r="AD139" s="13">
        <v>225</v>
      </c>
      <c r="AE139" s="13">
        <v>0</v>
      </c>
      <c r="AF139" s="13">
        <v>358476</v>
      </c>
      <c r="AG139" s="19">
        <f t="shared" si="17"/>
        <v>0</v>
      </c>
      <c r="AH139" s="13">
        <v>282254</v>
      </c>
      <c r="AI139" s="13">
        <v>31318</v>
      </c>
      <c r="AJ139" s="13">
        <v>0</v>
      </c>
      <c r="AK139" s="13">
        <v>232146</v>
      </c>
      <c r="AL139" s="13">
        <v>0</v>
      </c>
      <c r="AM139" s="13">
        <v>0</v>
      </c>
      <c r="AN139" s="13">
        <v>0</v>
      </c>
      <c r="AO139" s="13">
        <v>6812</v>
      </c>
      <c r="AP139" s="13">
        <v>871</v>
      </c>
      <c r="AQ139" s="13">
        <v>-52</v>
      </c>
      <c r="AR139" s="13">
        <v>-387</v>
      </c>
      <c r="AS139" s="13">
        <v>-307</v>
      </c>
      <c r="AT139" s="13">
        <v>6</v>
      </c>
      <c r="AU139" s="13">
        <f t="shared" si="15"/>
        <v>6943</v>
      </c>
      <c r="AV139" s="13"/>
      <c r="AW139" s="13"/>
      <c r="AX139" s="13"/>
      <c r="AY139" s="13"/>
      <c r="AZ139" s="13"/>
      <c r="BA139" s="13"/>
      <c r="BB139" s="13">
        <f t="shared" si="16"/>
        <v>0</v>
      </c>
      <c r="BC139" s="13">
        <v>199</v>
      </c>
    </row>
    <row r="140" spans="1:55" x14ac:dyDescent="0.25">
      <c r="A140" s="7">
        <v>17</v>
      </c>
      <c r="B140" s="7" t="s">
        <v>152</v>
      </c>
      <c r="C140" s="7" t="s">
        <v>172</v>
      </c>
      <c r="D140" s="7" t="s">
        <v>73</v>
      </c>
      <c r="E140" s="17" t="s">
        <v>143</v>
      </c>
      <c r="F140" s="17" t="s">
        <v>74</v>
      </c>
      <c r="G140" s="13">
        <v>12114470</v>
      </c>
      <c r="H140" s="13">
        <v>85519</v>
      </c>
      <c r="I140" s="13">
        <v>539535</v>
      </c>
      <c r="J140" s="13">
        <v>6149106</v>
      </c>
      <c r="K140" s="13">
        <v>1604571</v>
      </c>
      <c r="L140" s="13">
        <v>2140545</v>
      </c>
      <c r="M140" s="13">
        <v>586663</v>
      </c>
      <c r="N140" s="13">
        <v>11291198</v>
      </c>
      <c r="O140" s="19">
        <v>0.14000000000000001</v>
      </c>
      <c r="P140" s="13">
        <v>129722</v>
      </c>
      <c r="Q140" s="21">
        <f>754408/11105571</f>
        <v>6.7930590871914651E-2</v>
      </c>
      <c r="R140" s="13">
        <v>754408</v>
      </c>
      <c r="S140" s="13">
        <v>0</v>
      </c>
      <c r="T140" s="13">
        <v>358044</v>
      </c>
      <c r="U140" s="13">
        <v>29983</v>
      </c>
      <c r="V140" s="13">
        <v>60614</v>
      </c>
      <c r="W140" s="13">
        <f>44559+7601</f>
        <v>52160</v>
      </c>
      <c r="X140" s="13">
        <v>10701</v>
      </c>
      <c r="Y140" s="13">
        <v>86423</v>
      </c>
      <c r="Z140" s="13">
        <v>47521</v>
      </c>
      <c r="AA140" s="13">
        <f>9526+26935+55711</f>
        <v>92172</v>
      </c>
      <c r="AB140" s="13">
        <v>6007</v>
      </c>
      <c r="AC140" s="13">
        <v>1154</v>
      </c>
      <c r="AD140" s="13">
        <v>2873</v>
      </c>
      <c r="AE140" s="13">
        <v>41040</v>
      </c>
      <c r="AF140" s="13">
        <v>801665</v>
      </c>
      <c r="AG140" s="19">
        <f t="shared" si="17"/>
        <v>5.1193453624643712E-2</v>
      </c>
      <c r="AH140" s="13">
        <v>120932</v>
      </c>
      <c r="AI140" s="13">
        <v>124333</v>
      </c>
      <c r="AJ140" s="13">
        <v>0</v>
      </c>
      <c r="AK140" s="13">
        <v>97088</v>
      </c>
      <c r="AL140" s="13">
        <v>0</v>
      </c>
      <c r="AM140" s="13">
        <v>0</v>
      </c>
      <c r="AN140" s="13">
        <v>0</v>
      </c>
      <c r="AO140" s="13">
        <v>2288</v>
      </c>
      <c r="AP140" s="13">
        <v>1188</v>
      </c>
      <c r="AQ140" s="13">
        <v>-202</v>
      </c>
      <c r="AR140" s="13">
        <v>-755</v>
      </c>
      <c r="AS140" s="13">
        <v>-431</v>
      </c>
      <c r="AT140" s="13">
        <v>-2</v>
      </c>
      <c r="AU140" s="13">
        <f t="shared" ref="AU140:AU171" si="18">SUM(AO140:AT140)</f>
        <v>2086</v>
      </c>
      <c r="AV140" s="13">
        <v>2297</v>
      </c>
      <c r="AW140" s="13">
        <v>1176</v>
      </c>
      <c r="AX140" s="13">
        <v>-176</v>
      </c>
      <c r="AY140" s="13">
        <v>-599</v>
      </c>
      <c r="AZ140" s="13">
        <v>-409</v>
      </c>
      <c r="BA140" s="13">
        <v>-1</v>
      </c>
      <c r="BB140" s="13">
        <f t="shared" si="16"/>
        <v>2288</v>
      </c>
      <c r="BC140" s="13">
        <v>75</v>
      </c>
    </row>
    <row r="141" spans="1:55" x14ac:dyDescent="0.25">
      <c r="A141" s="7">
        <v>17</v>
      </c>
      <c r="B141" s="7" t="s">
        <v>235</v>
      </c>
      <c r="C141" s="7" t="s">
        <v>423</v>
      </c>
      <c r="D141" s="7" t="s">
        <v>73</v>
      </c>
      <c r="E141" s="17" t="s">
        <v>331</v>
      </c>
      <c r="F141" s="17" t="s">
        <v>74</v>
      </c>
      <c r="G141" s="13">
        <v>19282471</v>
      </c>
      <c r="H141" s="13">
        <v>28306</v>
      </c>
      <c r="I141" s="13">
        <v>515828</v>
      </c>
      <c r="J141" s="13">
        <v>8025280</v>
      </c>
      <c r="K141" s="13">
        <v>3522831</v>
      </c>
      <c r="L141" s="13">
        <v>2878198</v>
      </c>
      <c r="M141" s="13">
        <v>2445941</v>
      </c>
      <c r="N141" s="13">
        <v>18229496</v>
      </c>
      <c r="O141" s="19">
        <v>0.08</v>
      </c>
      <c r="P141" s="13">
        <v>0</v>
      </c>
      <c r="Q141" s="21">
        <f>1311109/18209853</f>
        <v>7.1999977155224701E-2</v>
      </c>
      <c r="R141" s="13">
        <v>1310439</v>
      </c>
      <c r="S141" s="13">
        <v>0</v>
      </c>
      <c r="T141" s="13">
        <v>643156</v>
      </c>
      <c r="U141" s="13">
        <v>52501</v>
      </c>
      <c r="V141" s="13">
        <v>88369</v>
      </c>
      <c r="W141" s="13">
        <v>138149</v>
      </c>
      <c r="X141" s="13">
        <v>0</v>
      </c>
      <c r="Y141" s="13">
        <v>16731</v>
      </c>
      <c r="Z141" s="13">
        <v>1473</v>
      </c>
      <c r="AA141" s="13">
        <f>11225+48626+42400</f>
        <v>102251</v>
      </c>
      <c r="AB141" s="13">
        <v>11800</v>
      </c>
      <c r="AC141" s="13">
        <v>26681</v>
      </c>
      <c r="AD141" s="13">
        <v>69945</v>
      </c>
      <c r="AE141" s="13">
        <v>62230</v>
      </c>
      <c r="AF141" s="13">
        <v>1233759</v>
      </c>
      <c r="AG141" s="19">
        <f t="shared" si="17"/>
        <v>5.0439348365442518E-2</v>
      </c>
      <c r="AH141" s="13">
        <v>231333</v>
      </c>
      <c r="AI141" s="13">
        <v>92844</v>
      </c>
      <c r="AJ141" s="13">
        <v>0</v>
      </c>
      <c r="AK141" s="13">
        <v>282254</v>
      </c>
      <c r="AL141" s="13">
        <v>0</v>
      </c>
      <c r="AM141" s="13">
        <v>0</v>
      </c>
      <c r="AN141" s="13">
        <v>0</v>
      </c>
      <c r="AO141" s="13">
        <v>6514</v>
      </c>
      <c r="AP141" s="13">
        <v>2223</v>
      </c>
      <c r="AQ141" s="13">
        <v>-172</v>
      </c>
      <c r="AR141" s="13">
        <v>-1037</v>
      </c>
      <c r="AS141" s="13">
        <v>-729</v>
      </c>
      <c r="AT141" s="13">
        <f>1+17-5</f>
        <v>13</v>
      </c>
      <c r="AU141" s="13">
        <f t="shared" si="18"/>
        <v>6812</v>
      </c>
      <c r="AV141" s="13">
        <v>6427</v>
      </c>
      <c r="AW141" s="13">
        <v>2569</v>
      </c>
      <c r="AX141" s="13">
        <v>-237</v>
      </c>
      <c r="AY141" s="13">
        <v>-1231</v>
      </c>
      <c r="AZ141" s="13">
        <v>-1027</v>
      </c>
      <c r="BA141" s="13">
        <f>12+1</f>
        <v>13</v>
      </c>
      <c r="BB141" s="13">
        <f t="shared" si="16"/>
        <v>6514</v>
      </c>
      <c r="BC141" s="13">
        <v>220</v>
      </c>
    </row>
    <row r="142" spans="1:55" x14ac:dyDescent="0.25">
      <c r="A142" s="7">
        <v>17</v>
      </c>
      <c r="B142" s="7" t="s">
        <v>257</v>
      </c>
      <c r="C142" s="7" t="s">
        <v>415</v>
      </c>
      <c r="D142" s="7" t="s">
        <v>73</v>
      </c>
      <c r="E142" s="17" t="s">
        <v>143</v>
      </c>
      <c r="F142" s="17" t="s">
        <v>74</v>
      </c>
      <c r="G142" s="13">
        <v>17038752</v>
      </c>
      <c r="H142" s="13">
        <v>60931</v>
      </c>
      <c r="I142" s="13">
        <v>860100</v>
      </c>
      <c r="J142" s="13">
        <v>8458636</v>
      </c>
      <c r="K142" s="13">
        <v>2046196</v>
      </c>
      <c r="L142" s="13">
        <v>3345124</v>
      </c>
      <c r="M142" s="13">
        <v>797450</v>
      </c>
      <c r="N142" s="13">
        <v>15732413</v>
      </c>
      <c r="O142" s="19">
        <v>0.11</v>
      </c>
      <c r="P142" s="13">
        <v>0</v>
      </c>
      <c r="Q142" s="21">
        <f>968631/15623116</f>
        <v>6.1999859695082593E-2</v>
      </c>
      <c r="R142" s="13">
        <v>959932</v>
      </c>
      <c r="S142" s="13">
        <v>0</v>
      </c>
      <c r="T142" s="13">
        <v>611313</v>
      </c>
      <c r="U142" s="13">
        <v>42886</v>
      </c>
      <c r="V142" s="13">
        <v>62464</v>
      </c>
      <c r="W142" s="13">
        <v>77775</v>
      </c>
      <c r="X142" s="13">
        <v>202</v>
      </c>
      <c r="Y142" s="13">
        <v>19101</v>
      </c>
      <c r="Z142" s="13">
        <v>972</v>
      </c>
      <c r="AA142" s="13">
        <f>19456+63581+48754</f>
        <v>131791</v>
      </c>
      <c r="AB142" s="13">
        <v>8698</v>
      </c>
      <c r="AC142" s="13">
        <v>468</v>
      </c>
      <c r="AD142" s="13">
        <v>13758</v>
      </c>
      <c r="AE142" s="13">
        <v>75203</v>
      </c>
      <c r="AF142" s="13">
        <v>1027952</v>
      </c>
      <c r="AG142" s="19">
        <f t="shared" si="17"/>
        <v>7.3158085202421896E-2</v>
      </c>
      <c r="AH142" s="13">
        <v>106494</v>
      </c>
      <c r="AI142" s="13">
        <v>124333</v>
      </c>
      <c r="AJ142" s="13">
        <v>0</v>
      </c>
      <c r="AK142" s="13">
        <v>94162</v>
      </c>
      <c r="AL142" s="13">
        <v>0</v>
      </c>
      <c r="AM142" s="13">
        <v>0</v>
      </c>
      <c r="AN142" s="13">
        <v>0</v>
      </c>
      <c r="AO142" s="13">
        <v>4328</v>
      </c>
      <c r="AP142" s="13">
        <v>2483</v>
      </c>
      <c r="AQ142" s="13">
        <v>-374</v>
      </c>
      <c r="AR142" s="13">
        <v>-1330</v>
      </c>
      <c r="AS142" s="13">
        <v>-340</v>
      </c>
      <c r="AT142" s="13">
        <v>-3</v>
      </c>
      <c r="AU142" s="13">
        <f t="shared" si="18"/>
        <v>4764</v>
      </c>
      <c r="AV142" s="13">
        <v>4091</v>
      </c>
      <c r="AW142" s="13">
        <v>2263</v>
      </c>
      <c r="AX142" s="13">
        <v>-300</v>
      </c>
      <c r="AY142" s="13">
        <v>-1359</v>
      </c>
      <c r="AZ142" s="13">
        <v>-361</v>
      </c>
      <c r="BA142" s="13">
        <v>-6</v>
      </c>
      <c r="BB142" s="13">
        <f t="shared" si="16"/>
        <v>4328</v>
      </c>
      <c r="BC142" s="13">
        <v>37</v>
      </c>
    </row>
    <row r="143" spans="1:55" x14ac:dyDescent="0.25">
      <c r="A143" s="7">
        <v>17</v>
      </c>
      <c r="B143" s="7" t="s">
        <v>276</v>
      </c>
      <c r="C143" s="7" t="s">
        <v>249</v>
      </c>
      <c r="D143" s="7" t="s">
        <v>337</v>
      </c>
      <c r="E143" s="17"/>
      <c r="F143" s="17" t="s">
        <v>316</v>
      </c>
      <c r="G143" s="13">
        <v>13403947</v>
      </c>
      <c r="H143" s="13">
        <v>75907</v>
      </c>
      <c r="I143" s="13">
        <v>491121</v>
      </c>
      <c r="J143" s="13">
        <v>4784024</v>
      </c>
      <c r="K143" s="13">
        <v>3260441</v>
      </c>
      <c r="L143" s="13">
        <v>2076509</v>
      </c>
      <c r="M143" s="13">
        <v>1779895</v>
      </c>
      <c r="N143" s="13">
        <v>12914051</v>
      </c>
      <c r="O143" s="19">
        <v>9.5600000000000004E-2</v>
      </c>
      <c r="P143" s="13">
        <f>142045+3625</f>
        <v>145670</v>
      </c>
      <c r="Q143" s="21">
        <f>915607/12738495</f>
        <v>7.1877172303321551E-2</v>
      </c>
      <c r="R143" s="13">
        <v>914461</v>
      </c>
      <c r="S143" s="13">
        <v>0</v>
      </c>
      <c r="T143" s="13">
        <v>490518</v>
      </c>
      <c r="U143" s="13">
        <v>48530</v>
      </c>
      <c r="V143" s="13">
        <v>56411</v>
      </c>
      <c r="W143" s="13">
        <v>106141</v>
      </c>
      <c r="X143" s="13">
        <v>762</v>
      </c>
      <c r="Y143" s="13">
        <v>15384</v>
      </c>
      <c r="Z143" s="13">
        <v>15286</v>
      </c>
      <c r="AA143" s="13">
        <f>16401+22250+29549</f>
        <v>68200</v>
      </c>
      <c r="AB143" s="13">
        <v>9198</v>
      </c>
      <c r="AC143" s="13">
        <v>5483</v>
      </c>
      <c r="AD143" s="13">
        <v>52352</v>
      </c>
      <c r="AE143" s="13">
        <v>156</v>
      </c>
      <c r="AF143" s="13">
        <v>917546</v>
      </c>
      <c r="AG143" s="19">
        <f t="shared" si="17"/>
        <v>1.7001872385689654E-4</v>
      </c>
      <c r="AH143" s="13">
        <v>150653</v>
      </c>
      <c r="AI143" s="13">
        <v>124333</v>
      </c>
      <c r="AJ143" s="13">
        <v>0</v>
      </c>
      <c r="AK143" s="13">
        <v>140237</v>
      </c>
      <c r="AL143" s="13">
        <v>0</v>
      </c>
      <c r="AM143" s="13">
        <v>0</v>
      </c>
      <c r="AN143" s="13">
        <v>0</v>
      </c>
      <c r="AO143" s="13">
        <v>4045</v>
      </c>
      <c r="AP143" s="13">
        <v>2096</v>
      </c>
      <c r="AQ143" s="13">
        <v>-200</v>
      </c>
      <c r="AR143" s="13">
        <v>-751</v>
      </c>
      <c r="AS143" s="13">
        <v>-580</v>
      </c>
      <c r="AT143" s="13">
        <f>25-2</f>
        <v>23</v>
      </c>
      <c r="AU143" s="13">
        <f t="shared" si="18"/>
        <v>4633</v>
      </c>
      <c r="AV143" s="13">
        <v>3984</v>
      </c>
      <c r="AW143" s="13">
        <v>1521</v>
      </c>
      <c r="AX143" s="13">
        <v>-156</v>
      </c>
      <c r="AY143" s="13">
        <v>-638</v>
      </c>
      <c r="AZ143" s="13">
        <v>-674</v>
      </c>
      <c r="BA143" s="13">
        <f>9-1</f>
        <v>8</v>
      </c>
      <c r="BB143" s="13">
        <f t="shared" si="16"/>
        <v>4045</v>
      </c>
      <c r="BC143" s="13">
        <v>57</v>
      </c>
    </row>
    <row r="144" spans="1:55" x14ac:dyDescent="0.25">
      <c r="A144" s="7">
        <v>17</v>
      </c>
      <c r="B144" s="7" t="s">
        <v>284</v>
      </c>
      <c r="C144" s="7" t="s">
        <v>172</v>
      </c>
      <c r="D144" s="7" t="s">
        <v>73</v>
      </c>
      <c r="E144" s="17" t="s">
        <v>143</v>
      </c>
      <c r="F144" s="17" t="s">
        <v>74</v>
      </c>
      <c r="G144" s="13">
        <v>15257022</v>
      </c>
      <c r="H144" s="13">
        <v>77478</v>
      </c>
      <c r="I144" s="13">
        <v>519133</v>
      </c>
      <c r="J144" s="13">
        <v>9284669</v>
      </c>
      <c r="K144" s="13">
        <v>1880590</v>
      </c>
      <c r="L144" s="13">
        <v>2541165</v>
      </c>
      <c r="M144" s="13">
        <v>720860</v>
      </c>
      <c r="N144" s="13">
        <v>15475144</v>
      </c>
      <c r="O144" s="19">
        <v>3.9399999999999998E-2</v>
      </c>
      <c r="P144" s="13">
        <v>730699</v>
      </c>
      <c r="Q144" s="21">
        <f>1002059/14705089</f>
        <v>6.8143688215691861E-2</v>
      </c>
      <c r="R144" s="13">
        <v>1003493</v>
      </c>
      <c r="S144" s="13">
        <v>0</v>
      </c>
      <c r="T144" s="13">
        <v>519462</v>
      </c>
      <c r="U144" s="13">
        <v>48038</v>
      </c>
      <c r="V144" s="13">
        <v>72336</v>
      </c>
      <c r="W144" s="13">
        <f>77962+4874</f>
        <v>82836</v>
      </c>
      <c r="X144" s="13">
        <v>1837</v>
      </c>
      <c r="Y144" s="13">
        <v>18136</v>
      </c>
      <c r="Z144" s="13">
        <v>1770</v>
      </c>
      <c r="AA144" s="13">
        <f>20796+37644+52791</f>
        <v>111231</v>
      </c>
      <c r="AB144" s="13">
        <v>9610</v>
      </c>
      <c r="AC144" s="13">
        <v>2743</v>
      </c>
      <c r="AD144" s="13">
        <v>35313</v>
      </c>
      <c r="AE144" s="13">
        <v>0</v>
      </c>
      <c r="AF144" s="13">
        <v>991667</v>
      </c>
      <c r="AG144" s="19">
        <f t="shared" si="17"/>
        <v>0</v>
      </c>
      <c r="AH144" s="13">
        <v>152394</v>
      </c>
      <c r="AI144" s="13">
        <v>124333</v>
      </c>
      <c r="AJ144" s="13">
        <v>0</v>
      </c>
      <c r="AK144" s="13">
        <v>158946</v>
      </c>
      <c r="AL144" s="13">
        <v>0</v>
      </c>
      <c r="AM144" s="13">
        <v>0</v>
      </c>
      <c r="AN144" s="13">
        <v>0</v>
      </c>
      <c r="AO144" s="13">
        <v>3622</v>
      </c>
      <c r="AP144" s="13">
        <v>1053</v>
      </c>
      <c r="AQ144" s="13">
        <v>-381</v>
      </c>
      <c r="AR144" s="13">
        <v>-646</v>
      </c>
      <c r="AS144" s="13">
        <v>-532</v>
      </c>
      <c r="AT144" s="13">
        <f>270-1</f>
        <v>269</v>
      </c>
      <c r="AU144" s="13">
        <f t="shared" si="18"/>
        <v>3385</v>
      </c>
      <c r="AV144" s="13">
        <v>4230</v>
      </c>
      <c r="AW144" s="13">
        <v>1306</v>
      </c>
      <c r="AX144" s="13">
        <v>-423</v>
      </c>
      <c r="AY144" s="13">
        <v>-839</v>
      </c>
      <c r="AZ144" s="13">
        <v>-651</v>
      </c>
      <c r="BA144" s="13">
        <v>-1</v>
      </c>
      <c r="BB144" s="13">
        <f t="shared" si="16"/>
        <v>3622</v>
      </c>
      <c r="BC144" s="13">
        <v>65</v>
      </c>
    </row>
    <row r="145" spans="1:55" x14ac:dyDescent="0.25">
      <c r="A145" s="7">
        <v>17</v>
      </c>
      <c r="B145" s="7" t="s">
        <v>429</v>
      </c>
      <c r="C145" s="7" t="s">
        <v>396</v>
      </c>
      <c r="D145" s="7" t="s">
        <v>337</v>
      </c>
      <c r="E145" s="17"/>
      <c r="F145" s="17" t="s">
        <v>316</v>
      </c>
      <c r="G145" s="13">
        <v>3302152</v>
      </c>
      <c r="H145" s="13">
        <v>11857</v>
      </c>
      <c r="I145" s="13">
        <v>69040</v>
      </c>
      <c r="J145" s="13">
        <v>998346</v>
      </c>
      <c r="K145" s="13">
        <v>690273</v>
      </c>
      <c r="L145" s="13">
        <v>764641</v>
      </c>
      <c r="M145" s="13">
        <v>470369</v>
      </c>
      <c r="N145" s="13">
        <v>3229549</v>
      </c>
      <c r="O145" s="19">
        <v>0.11</v>
      </c>
      <c r="P145" s="13">
        <v>0</v>
      </c>
      <c r="Q145" s="21">
        <f>302498/3226865</f>
        <v>9.3743618031742887E-2</v>
      </c>
      <c r="R145" s="13">
        <v>303236</v>
      </c>
      <c r="S145" s="13">
        <v>0</v>
      </c>
      <c r="T145" s="13">
        <v>78103</v>
      </c>
      <c r="U145" s="13">
        <v>7839</v>
      </c>
      <c r="V145" s="13">
        <v>1745</v>
      </c>
      <c r="W145" s="13">
        <f>17280+2969</f>
        <v>20249</v>
      </c>
      <c r="X145" s="13">
        <v>6009</v>
      </c>
      <c r="Y145" s="13">
        <v>5760</v>
      </c>
      <c r="Z145" s="13">
        <v>5861</v>
      </c>
      <c r="AA145" s="13">
        <f>4370+6500+3935</f>
        <v>14805</v>
      </c>
      <c r="AB145" s="13">
        <v>2987</v>
      </c>
      <c r="AC145" s="13">
        <v>1214</v>
      </c>
      <c r="AD145" s="13">
        <v>9145</v>
      </c>
      <c r="AE145" s="13">
        <v>55042</v>
      </c>
      <c r="AF145" s="13">
        <v>170202</v>
      </c>
      <c r="AG145" s="19">
        <f t="shared" si="17"/>
        <v>0.32339220455693823</v>
      </c>
      <c r="AH145" s="13">
        <v>19</v>
      </c>
      <c r="AI145" s="13">
        <v>124333</v>
      </c>
      <c r="AJ145" s="13">
        <v>0</v>
      </c>
      <c r="AK145" s="13">
        <v>24070</v>
      </c>
      <c r="AL145" s="13">
        <v>0</v>
      </c>
      <c r="AM145" s="13">
        <v>0</v>
      </c>
      <c r="AN145" s="13">
        <v>0</v>
      </c>
      <c r="AO145" s="13">
        <v>745</v>
      </c>
      <c r="AP145" s="13">
        <v>383</v>
      </c>
      <c r="AQ145" s="13">
        <v>-31</v>
      </c>
      <c r="AR145" s="13">
        <v>-141</v>
      </c>
      <c r="AS145" s="13">
        <v>-117</v>
      </c>
      <c r="AT145" s="13">
        <v>-1</v>
      </c>
      <c r="AU145" s="13">
        <f t="shared" si="18"/>
        <v>838</v>
      </c>
      <c r="AV145" s="13">
        <v>613</v>
      </c>
      <c r="AW145" s="13">
        <v>364</v>
      </c>
      <c r="AX145" s="13">
        <v>-33</v>
      </c>
      <c r="AY145" s="13">
        <v>-97</v>
      </c>
      <c r="AZ145" s="13">
        <v>-101</v>
      </c>
      <c r="BA145" s="13">
        <v>-1</v>
      </c>
      <c r="BB145" s="13">
        <f t="shared" si="16"/>
        <v>745</v>
      </c>
      <c r="BC145" s="13">
        <v>0</v>
      </c>
    </row>
    <row r="146" spans="1:55" x14ac:dyDescent="0.25">
      <c r="A146" s="7">
        <v>18</v>
      </c>
      <c r="B146" s="7" t="s">
        <v>67</v>
      </c>
      <c r="C146" s="7" t="s">
        <v>454</v>
      </c>
      <c r="D146" s="7" t="s">
        <v>501</v>
      </c>
      <c r="E146" s="17" t="s">
        <v>143</v>
      </c>
      <c r="F146" s="17" t="s">
        <v>504</v>
      </c>
      <c r="G146" s="13">
        <v>6288756</v>
      </c>
      <c r="H146" s="13">
        <v>25402</v>
      </c>
      <c r="I146" s="13">
        <v>339376</v>
      </c>
      <c r="J146" s="13">
        <v>2554222</v>
      </c>
      <c r="K146" s="13">
        <v>1048675</v>
      </c>
      <c r="L146" s="13">
        <v>1284434</v>
      </c>
      <c r="M146" s="13">
        <v>352681</v>
      </c>
      <c r="N146" s="13">
        <v>5770764</v>
      </c>
      <c r="O146" s="19">
        <v>0.13600000000000001</v>
      </c>
      <c r="P146" s="13">
        <v>0</v>
      </c>
      <c r="Q146" s="21">
        <f>505899/5615660</f>
        <v>9.0087184765459447E-2</v>
      </c>
      <c r="R146" s="13">
        <v>503584</v>
      </c>
      <c r="S146" s="13">
        <v>0</v>
      </c>
      <c r="T146" s="13">
        <v>230571</v>
      </c>
      <c r="U146" s="13">
        <v>19370</v>
      </c>
      <c r="V146" s="13">
        <v>32359</v>
      </c>
      <c r="W146" s="13">
        <v>31608</v>
      </c>
      <c r="X146" s="13">
        <v>0</v>
      </c>
      <c r="Y146" s="13">
        <v>16966</v>
      </c>
      <c r="Z146" s="13">
        <v>0</v>
      </c>
      <c r="AA146" s="13">
        <f>7559+13505+10500</f>
        <v>31564</v>
      </c>
      <c r="AB146" s="13">
        <v>9862</v>
      </c>
      <c r="AC146" s="13">
        <v>8494</v>
      </c>
      <c r="AD146" s="13">
        <v>7694</v>
      </c>
      <c r="AE146" s="13">
        <v>0</v>
      </c>
      <c r="AF146" s="13">
        <v>426540</v>
      </c>
      <c r="AG146" s="19">
        <f t="shared" si="17"/>
        <v>0</v>
      </c>
      <c r="AH146" s="13">
        <v>65205</v>
      </c>
      <c r="AI146" s="13">
        <v>124333</v>
      </c>
      <c r="AJ146" s="13">
        <v>0</v>
      </c>
      <c r="AK146" s="13">
        <v>69176</v>
      </c>
      <c r="AL146" s="13">
        <v>0</v>
      </c>
      <c r="AM146" s="13">
        <v>0</v>
      </c>
      <c r="AN146" s="13">
        <v>0</v>
      </c>
      <c r="AO146" s="13">
        <v>1699</v>
      </c>
      <c r="AP146" s="13">
        <v>807</v>
      </c>
      <c r="AQ146" s="13">
        <v>-117</v>
      </c>
      <c r="AR146" s="13">
        <v>-220</v>
      </c>
      <c r="AS146" s="13">
        <v>-285</v>
      </c>
      <c r="AT146" s="13">
        <v>32</v>
      </c>
      <c r="AU146" s="13">
        <f t="shared" si="18"/>
        <v>1916</v>
      </c>
      <c r="AV146" s="13">
        <v>1825</v>
      </c>
      <c r="AW146" s="13">
        <v>593</v>
      </c>
      <c r="AX146" s="13">
        <v>-118</v>
      </c>
      <c r="AY146" s="13">
        <v>-249</v>
      </c>
      <c r="AZ146" s="13">
        <v>-372</v>
      </c>
      <c r="BA146" s="13">
        <v>20</v>
      </c>
      <c r="BB146" s="13">
        <f t="shared" si="16"/>
        <v>1699</v>
      </c>
      <c r="BC146" s="13">
        <v>43</v>
      </c>
    </row>
    <row r="147" spans="1:55" x14ac:dyDescent="0.25">
      <c r="A147" s="7">
        <v>18</v>
      </c>
      <c r="B147" s="7" t="s">
        <v>103</v>
      </c>
      <c r="C147" s="7" t="s">
        <v>23</v>
      </c>
      <c r="D147" s="7" t="s">
        <v>14</v>
      </c>
      <c r="E147" s="17"/>
      <c r="F147" s="17" t="s">
        <v>16</v>
      </c>
      <c r="G147" s="13">
        <v>1305558</v>
      </c>
      <c r="H147" s="13">
        <v>2739</v>
      </c>
      <c r="I147" s="13">
        <v>138824</v>
      </c>
      <c r="J147" s="13">
        <v>620546</v>
      </c>
      <c r="K147" s="13">
        <v>203462</v>
      </c>
      <c r="L147" s="13">
        <v>153539</v>
      </c>
      <c r="M147" s="13">
        <v>42135</v>
      </c>
      <c r="N147" s="13">
        <v>1145694</v>
      </c>
      <c r="O147" s="19">
        <v>0.13</v>
      </c>
      <c r="P147" s="13">
        <v>0</v>
      </c>
      <c r="Q147" s="21">
        <f>111875/1118750</f>
        <v>0.1</v>
      </c>
      <c r="R147" s="13">
        <v>111926</v>
      </c>
      <c r="S147" s="13">
        <v>0</v>
      </c>
      <c r="T147" s="13">
        <v>40864</v>
      </c>
      <c r="U147" s="13">
        <v>3843</v>
      </c>
      <c r="V147" s="13">
        <v>0</v>
      </c>
      <c r="W147" s="13">
        <v>10086</v>
      </c>
      <c r="X147" s="13">
        <v>0</v>
      </c>
      <c r="Y147" s="13">
        <v>4208</v>
      </c>
      <c r="Z147" s="13">
        <v>0</v>
      </c>
      <c r="AA147" s="13">
        <f>4902+1659+2815</f>
        <v>9376</v>
      </c>
      <c r="AB147" s="13">
        <v>2062</v>
      </c>
      <c r="AC147" s="13">
        <v>198</v>
      </c>
      <c r="AD147" s="13">
        <v>1735</v>
      </c>
      <c r="AE147" s="13">
        <v>20160</v>
      </c>
      <c r="AF147" s="13">
        <v>77294</v>
      </c>
      <c r="AG147" s="19">
        <f t="shared" si="17"/>
        <v>0.26082231479804385</v>
      </c>
      <c r="AH147" s="13">
        <v>40</v>
      </c>
      <c r="AI147" s="13">
        <v>44900</v>
      </c>
      <c r="AJ147" s="13">
        <v>0</v>
      </c>
      <c r="AK147" s="13">
        <v>3910</v>
      </c>
      <c r="AL147" s="13">
        <v>0</v>
      </c>
      <c r="AM147" s="13">
        <v>0</v>
      </c>
      <c r="AN147" s="13">
        <v>0</v>
      </c>
      <c r="AO147" s="13">
        <v>200</v>
      </c>
      <c r="AP147" s="13">
        <v>115</v>
      </c>
      <c r="AQ147" s="13">
        <v>-25</v>
      </c>
      <c r="AR147" s="13">
        <v>-47</v>
      </c>
      <c r="AS147" s="13">
        <v>-51</v>
      </c>
      <c r="AT147" s="13">
        <f>2+6</f>
        <v>8</v>
      </c>
      <c r="AU147" s="13">
        <f t="shared" si="18"/>
        <v>200</v>
      </c>
      <c r="AV147" s="13">
        <v>205</v>
      </c>
      <c r="AW147" s="13">
        <v>100</v>
      </c>
      <c r="AX147" s="13">
        <v>-20</v>
      </c>
      <c r="AY147" s="13">
        <v>-47</v>
      </c>
      <c r="AZ147" s="13">
        <v>-41</v>
      </c>
      <c r="BA147" s="13">
        <f>1+2</f>
        <v>3</v>
      </c>
      <c r="BB147" s="13">
        <f t="shared" ref="BB147:BB178" si="19">SUM(AV147:BA147)</f>
        <v>200</v>
      </c>
      <c r="BC147" s="13">
        <v>2</v>
      </c>
    </row>
    <row r="148" spans="1:55" x14ac:dyDescent="0.25">
      <c r="A148" s="7">
        <v>18</v>
      </c>
      <c r="B148" s="7" t="s">
        <v>140</v>
      </c>
      <c r="C148" s="7" t="s">
        <v>186</v>
      </c>
      <c r="D148" s="7" t="s">
        <v>305</v>
      </c>
      <c r="E148" s="17"/>
      <c r="F148" s="17" t="s">
        <v>301</v>
      </c>
      <c r="G148" s="13">
        <v>2332635</v>
      </c>
      <c r="H148" s="13">
        <v>7023</v>
      </c>
      <c r="I148" s="13">
        <v>134042</v>
      </c>
      <c r="J148" s="13">
        <v>1096058</v>
      </c>
      <c r="K148" s="13">
        <v>245491</v>
      </c>
      <c r="L148" s="13">
        <v>413574</v>
      </c>
      <c r="M148" s="13">
        <v>125060</v>
      </c>
      <c r="N148" s="13">
        <v>2109812</v>
      </c>
      <c r="O148" s="19">
        <v>0.114</v>
      </c>
      <c r="P148" s="13">
        <v>0</v>
      </c>
      <c r="Q148" s="21">
        <f>210876/2108759</f>
        <v>0.10000004742125582</v>
      </c>
      <c r="R148" s="13">
        <v>210876</v>
      </c>
      <c r="S148" s="13">
        <v>0</v>
      </c>
      <c r="T148" s="13">
        <v>74396</v>
      </c>
      <c r="U148" s="13">
        <v>0</v>
      </c>
      <c r="V148" s="13">
        <v>0</v>
      </c>
      <c r="W148" s="13">
        <v>19505</v>
      </c>
      <c r="X148" s="13">
        <v>8281</v>
      </c>
      <c r="Y148" s="13">
        <v>7117</v>
      </c>
      <c r="Z148" s="13">
        <v>0</v>
      </c>
      <c r="AA148" s="13">
        <f>5576+4560+5000</f>
        <v>15136</v>
      </c>
      <c r="AB148" s="13">
        <v>2662</v>
      </c>
      <c r="AC148" s="13">
        <v>0</v>
      </c>
      <c r="AD148" s="13">
        <v>212</v>
      </c>
      <c r="AE148" s="13">
        <v>114059</v>
      </c>
      <c r="AF148" s="13">
        <v>149331</v>
      </c>
      <c r="AG148" s="19">
        <f t="shared" si="17"/>
        <v>0.76379988080170891</v>
      </c>
      <c r="AH148" s="13">
        <v>491</v>
      </c>
      <c r="AI148" s="13">
        <v>68218</v>
      </c>
      <c r="AJ148" s="13">
        <v>0</v>
      </c>
      <c r="AK148" s="13">
        <v>538</v>
      </c>
      <c r="AL148" s="13">
        <v>0</v>
      </c>
      <c r="AM148" s="13">
        <v>0</v>
      </c>
      <c r="AN148" s="13">
        <v>0</v>
      </c>
      <c r="AO148" s="13">
        <v>745</v>
      </c>
      <c r="AP148" s="13">
        <v>515</v>
      </c>
      <c r="AQ148" s="13">
        <v>-99</v>
      </c>
      <c r="AR148" s="13">
        <v>-131</v>
      </c>
      <c r="AS148" s="13">
        <v>-109</v>
      </c>
      <c r="AT148" s="13">
        <v>28</v>
      </c>
      <c r="AU148" s="13">
        <f t="shared" si="18"/>
        <v>949</v>
      </c>
      <c r="AV148" s="13">
        <v>605</v>
      </c>
      <c r="AW148" s="13">
        <v>360</v>
      </c>
      <c r="AX148" s="13">
        <v>-74</v>
      </c>
      <c r="AY148" s="13">
        <v>-95</v>
      </c>
      <c r="AZ148" s="13">
        <v>-79</v>
      </c>
      <c r="BA148" s="13">
        <f>1+28-1</f>
        <v>28</v>
      </c>
      <c r="BB148" s="13">
        <f t="shared" si="19"/>
        <v>745</v>
      </c>
      <c r="BC148" s="13">
        <v>7</v>
      </c>
    </row>
    <row r="149" spans="1:55" x14ac:dyDescent="0.25">
      <c r="A149" s="7">
        <v>18</v>
      </c>
      <c r="B149" s="7" t="s">
        <v>165</v>
      </c>
      <c r="C149" s="7" t="s">
        <v>376</v>
      </c>
      <c r="D149" s="7" t="s">
        <v>213</v>
      </c>
      <c r="E149" s="17"/>
      <c r="F149" s="17" t="s">
        <v>214</v>
      </c>
      <c r="G149" s="13">
        <v>2132080</v>
      </c>
      <c r="H149" s="13">
        <v>3462</v>
      </c>
      <c r="I149" s="13">
        <v>70125</v>
      </c>
      <c r="J149" s="13">
        <v>998212</v>
      </c>
      <c r="K149" s="13">
        <v>241900</v>
      </c>
      <c r="L149" s="13">
        <v>596520</v>
      </c>
      <c r="M149" s="13">
        <v>70281</v>
      </c>
      <c r="N149" s="13">
        <v>2095224</v>
      </c>
      <c r="O149" s="19">
        <v>0.08</v>
      </c>
      <c r="P149" s="13">
        <v>0</v>
      </c>
      <c r="Q149" s="21">
        <f>194163/2094835</f>
        <v>9.2686536171106559E-2</v>
      </c>
      <c r="R149" s="13">
        <v>185829</v>
      </c>
      <c r="S149" s="13">
        <v>0</v>
      </c>
      <c r="T149" s="13">
        <v>55093</v>
      </c>
      <c r="U149" s="13">
        <v>4528</v>
      </c>
      <c r="V149" s="13">
        <v>10310</v>
      </c>
      <c r="W149" s="13">
        <v>10920</v>
      </c>
      <c r="X149" s="13">
        <v>0</v>
      </c>
      <c r="Y149" s="13">
        <v>0</v>
      </c>
      <c r="Z149" s="13">
        <v>0</v>
      </c>
      <c r="AA149" s="13">
        <f>1712+3598+2309</f>
        <v>7619</v>
      </c>
      <c r="AB149" s="13">
        <v>0</v>
      </c>
      <c r="AC149" s="13">
        <v>3197</v>
      </c>
      <c r="AD149" s="13">
        <v>0</v>
      </c>
      <c r="AE149" s="13">
        <v>53512</v>
      </c>
      <c r="AF149" s="13">
        <v>97982</v>
      </c>
      <c r="AG149" s="19">
        <f t="shared" si="17"/>
        <v>0.54614112796227876</v>
      </c>
      <c r="AH149" s="13">
        <v>15357</v>
      </c>
      <c r="AI149" s="13">
        <v>103161</v>
      </c>
      <c r="AJ149" s="13">
        <v>63</v>
      </c>
      <c r="AK149" s="13">
        <v>4254</v>
      </c>
      <c r="AL149" s="13">
        <v>0</v>
      </c>
      <c r="AM149" s="13">
        <v>0</v>
      </c>
      <c r="AN149" s="13">
        <v>0</v>
      </c>
      <c r="AO149" s="13">
        <v>403</v>
      </c>
      <c r="AP149" s="13">
        <v>212</v>
      </c>
      <c r="AQ149" s="13">
        <v>-47</v>
      </c>
      <c r="AR149" s="13">
        <v>-67</v>
      </c>
      <c r="AS149" s="13">
        <v>-81</v>
      </c>
      <c r="AT149" s="13">
        <v>13</v>
      </c>
      <c r="AU149" s="13">
        <f t="shared" si="18"/>
        <v>433</v>
      </c>
      <c r="AV149" s="13">
        <v>424</v>
      </c>
      <c r="AW149" s="13">
        <v>172</v>
      </c>
      <c r="AX149" s="13">
        <v>-41</v>
      </c>
      <c r="AY149" s="13">
        <v>-49</v>
      </c>
      <c r="AZ149" s="13">
        <v>-114</v>
      </c>
      <c r="BA149" s="13">
        <v>11</v>
      </c>
      <c r="BB149" s="13">
        <f t="shared" si="19"/>
        <v>403</v>
      </c>
      <c r="BC149" s="13">
        <v>0</v>
      </c>
    </row>
    <row r="150" spans="1:55" x14ac:dyDescent="0.25">
      <c r="A150" s="7">
        <v>18</v>
      </c>
      <c r="B150" s="7" t="s">
        <v>208</v>
      </c>
      <c r="C150" s="7" t="s">
        <v>435</v>
      </c>
      <c r="D150" s="7" t="s">
        <v>501</v>
      </c>
      <c r="E150" s="17" t="s">
        <v>512</v>
      </c>
      <c r="F150" s="17" t="s">
        <v>504</v>
      </c>
      <c r="G150" s="13">
        <v>11016501</v>
      </c>
      <c r="H150" s="13">
        <v>36263</v>
      </c>
      <c r="I150" s="13">
        <v>1061416</v>
      </c>
      <c r="J150" s="13">
        <v>5218666</v>
      </c>
      <c r="K150" s="13">
        <v>1244040</v>
      </c>
      <c r="L150" s="13">
        <v>2201771</v>
      </c>
      <c r="M150" s="13">
        <v>584448</v>
      </c>
      <c r="N150" s="13">
        <v>9957926</v>
      </c>
      <c r="O150" s="19">
        <v>5.7200000000000001E-2</v>
      </c>
      <c r="P150" s="13">
        <v>0</v>
      </c>
      <c r="Q150" s="21">
        <f>653245/9950501</f>
        <v>6.5649458253408552E-2</v>
      </c>
      <c r="R150" s="13">
        <v>653242</v>
      </c>
      <c r="S150" s="13">
        <v>0</v>
      </c>
      <c r="T150" s="13">
        <v>273029</v>
      </c>
      <c r="U150" s="13">
        <v>22654</v>
      </c>
      <c r="V150" s="13">
        <v>57523</v>
      </c>
      <c r="W150" s="13">
        <v>62940</v>
      </c>
      <c r="X150" s="13">
        <v>1739</v>
      </c>
      <c r="Y150" s="13">
        <v>28547</v>
      </c>
      <c r="Z150" s="13">
        <v>3110</v>
      </c>
      <c r="AA150" s="13">
        <f>10375+25017+17967</f>
        <v>53359</v>
      </c>
      <c r="AB150" s="13">
        <v>7358</v>
      </c>
      <c r="AC150" s="13">
        <v>1355</v>
      </c>
      <c r="AD150" s="13">
        <v>14353</v>
      </c>
      <c r="AE150" s="13">
        <v>952</v>
      </c>
      <c r="AF150" s="13">
        <v>561169</v>
      </c>
      <c r="AG150" s="19">
        <f t="shared" si="17"/>
        <v>1.6964586425836066E-3</v>
      </c>
      <c r="AH150" s="13">
        <v>75682</v>
      </c>
      <c r="AI150" s="13">
        <v>124333</v>
      </c>
      <c r="AJ150" s="13">
        <v>0</v>
      </c>
      <c r="AK150" s="13">
        <v>88689</v>
      </c>
      <c r="AL150" s="13">
        <v>0</v>
      </c>
      <c r="AM150" s="13">
        <v>0</v>
      </c>
      <c r="AN150" s="13">
        <v>0</v>
      </c>
      <c r="AO150" s="13">
        <v>1431</v>
      </c>
      <c r="AP150" s="13">
        <v>864</v>
      </c>
      <c r="AQ150" s="13">
        <v>-139</v>
      </c>
      <c r="AR150" s="13">
        <f>-336-1+1</f>
        <v>-336</v>
      </c>
      <c r="AS150" s="13">
        <v>-279</v>
      </c>
      <c r="AT150" s="13">
        <f>1+6-2</f>
        <v>5</v>
      </c>
      <c r="AU150" s="13">
        <f t="shared" si="18"/>
        <v>1546</v>
      </c>
      <c r="AV150" s="13">
        <v>1356</v>
      </c>
      <c r="AW150" s="13">
        <v>705</v>
      </c>
      <c r="AX150" s="13">
        <v>-122</v>
      </c>
      <c r="AY150" s="13">
        <f>-271-1</f>
        <v>-272</v>
      </c>
      <c r="AZ150" s="13">
        <v>-245</v>
      </c>
      <c r="BA150" s="13">
        <f>1+9-1</f>
        <v>9</v>
      </c>
      <c r="BB150" s="13">
        <f t="shared" si="19"/>
        <v>1431</v>
      </c>
      <c r="BC150" s="13">
        <v>4</v>
      </c>
    </row>
    <row r="151" spans="1:55" x14ac:dyDescent="0.25">
      <c r="A151" s="7">
        <v>18</v>
      </c>
      <c r="B151" s="7" t="s">
        <v>240</v>
      </c>
      <c r="C151" s="7" t="s">
        <v>52</v>
      </c>
      <c r="D151" s="7" t="s">
        <v>213</v>
      </c>
      <c r="E151" s="17"/>
      <c r="F151" s="17" t="s">
        <v>214</v>
      </c>
      <c r="G151" s="13">
        <v>1790993</v>
      </c>
      <c r="H151" s="13">
        <v>3523</v>
      </c>
      <c r="I151" s="13">
        <v>74667</v>
      </c>
      <c r="J151" s="13">
        <v>706284</v>
      </c>
      <c r="K151" s="13">
        <v>282282</v>
      </c>
      <c r="L151" s="13">
        <v>417958</v>
      </c>
      <c r="M151" s="13">
        <v>139015</v>
      </c>
      <c r="N151" s="13">
        <v>1719743</v>
      </c>
      <c r="O151" s="19">
        <v>7.0000000000000007E-2</v>
      </c>
      <c r="P151" s="13">
        <v>0</v>
      </c>
      <c r="Q151" s="21">
        <f>171825/1718255</f>
        <v>9.999970900710313E-2</v>
      </c>
      <c r="R151" s="13">
        <v>171832</v>
      </c>
      <c r="S151" s="13">
        <v>0</v>
      </c>
      <c r="T151" s="13">
        <v>50667</v>
      </c>
      <c r="U151" s="13">
        <v>5207</v>
      </c>
      <c r="V151" s="13">
        <v>3091</v>
      </c>
      <c r="W151" s="13">
        <f>7339+1093</f>
        <v>8432</v>
      </c>
      <c r="X151" s="13">
        <v>1208</v>
      </c>
      <c r="Y151" s="13">
        <v>6369</v>
      </c>
      <c r="Z151" s="13">
        <v>1000</v>
      </c>
      <c r="AA151" s="13">
        <f>1620+2105+2069</f>
        <v>5794</v>
      </c>
      <c r="AB151" s="13">
        <v>337</v>
      </c>
      <c r="AC151" s="13">
        <v>6614</v>
      </c>
      <c r="AD151" s="13">
        <v>0</v>
      </c>
      <c r="AE151" s="13">
        <v>17387</v>
      </c>
      <c r="AF151" s="13">
        <v>98420</v>
      </c>
      <c r="AG151" s="19">
        <f t="shared" si="17"/>
        <v>0.17666124771387928</v>
      </c>
      <c r="AH151" s="13">
        <v>5163</v>
      </c>
      <c r="AI151" s="13">
        <v>70311</v>
      </c>
      <c r="AJ151" s="13">
        <v>0</v>
      </c>
      <c r="AK151" s="13">
        <v>13475</v>
      </c>
      <c r="AL151" s="13">
        <v>0</v>
      </c>
      <c r="AM151" s="13">
        <v>0</v>
      </c>
      <c r="AN151" s="13">
        <v>0</v>
      </c>
      <c r="AO151" s="13">
        <v>480</v>
      </c>
      <c r="AP151" s="13">
        <v>406</v>
      </c>
      <c r="AQ151" s="13">
        <v>-46</v>
      </c>
      <c r="AR151" s="13">
        <v>-122</v>
      </c>
      <c r="AS151" s="13">
        <v>-131</v>
      </c>
      <c r="AT151" s="13">
        <f>11-1</f>
        <v>10</v>
      </c>
      <c r="AU151" s="13">
        <f t="shared" si="18"/>
        <v>597</v>
      </c>
      <c r="AV151" s="13">
        <v>522</v>
      </c>
      <c r="AW151" s="13">
        <v>229</v>
      </c>
      <c r="AX151" s="13">
        <v>-34</v>
      </c>
      <c r="AY151" s="13">
        <v>-94</v>
      </c>
      <c r="AZ151" s="13">
        <v>-149</v>
      </c>
      <c r="BA151" s="13">
        <v>6</v>
      </c>
      <c r="BB151" s="13">
        <f t="shared" si="19"/>
        <v>480</v>
      </c>
      <c r="BC151" s="13">
        <v>4</v>
      </c>
    </row>
    <row r="152" spans="1:55" x14ac:dyDescent="0.25">
      <c r="A152" s="7">
        <v>18</v>
      </c>
      <c r="B152" s="7" t="s">
        <v>258</v>
      </c>
      <c r="C152" s="7" t="s">
        <v>154</v>
      </c>
      <c r="D152" s="7" t="s">
        <v>353</v>
      </c>
      <c r="E152" s="17"/>
      <c r="F152" s="17" t="s">
        <v>354</v>
      </c>
      <c r="G152" s="13">
        <v>9848932</v>
      </c>
      <c r="H152" s="13">
        <v>13172</v>
      </c>
      <c r="I152" s="13">
        <v>489485</v>
      </c>
      <c r="J152" s="13">
        <v>3751018</v>
      </c>
      <c r="K152" s="13">
        <v>1808405</v>
      </c>
      <c r="L152" s="13">
        <v>2068743</v>
      </c>
      <c r="M152" s="13">
        <v>981347</v>
      </c>
      <c r="N152" s="13">
        <v>9280361</v>
      </c>
      <c r="O152" s="19">
        <v>0.129</v>
      </c>
      <c r="P152" s="13">
        <f>12034+12479</f>
        <v>24513</v>
      </c>
      <c r="Q152" s="21">
        <f>672633/9253843</f>
        <v>7.268688262811461E-2</v>
      </c>
      <c r="R152" s="13">
        <v>670315</v>
      </c>
      <c r="S152" s="13">
        <v>0</v>
      </c>
      <c r="T152" s="13">
        <v>316329</v>
      </c>
      <c r="U152" s="13">
        <v>30156</v>
      </c>
      <c r="V152" s="13">
        <v>71857</v>
      </c>
      <c r="W152" s="13">
        <v>37177</v>
      </c>
      <c r="X152" s="13">
        <v>139</v>
      </c>
      <c r="Y152" s="13">
        <v>3000</v>
      </c>
      <c r="Z152" s="13">
        <v>3300</v>
      </c>
      <c r="AA152" s="13">
        <f>9017+14100+16857</f>
        <v>39974</v>
      </c>
      <c r="AB152" s="13">
        <v>8531</v>
      </c>
      <c r="AC152" s="13">
        <v>408</v>
      </c>
      <c r="AD152" s="13">
        <v>28574</v>
      </c>
      <c r="AE152" s="13">
        <v>0</v>
      </c>
      <c r="AF152" s="13">
        <v>570925</v>
      </c>
      <c r="AG152" s="19">
        <f t="shared" si="17"/>
        <v>0</v>
      </c>
      <c r="AH152" s="13">
        <v>77482</v>
      </c>
      <c r="AI152" s="13">
        <v>124333</v>
      </c>
      <c r="AJ152" s="13">
        <v>0</v>
      </c>
      <c r="AK152" s="13">
        <v>66578</v>
      </c>
      <c r="AL152" s="13">
        <v>0</v>
      </c>
      <c r="AM152" s="13">
        <v>0</v>
      </c>
      <c r="AN152" s="13">
        <v>0</v>
      </c>
      <c r="AO152" s="13">
        <v>3187</v>
      </c>
      <c r="AP152" s="13">
        <v>1358</v>
      </c>
      <c r="AQ152" s="13">
        <v>-133</v>
      </c>
      <c r="AR152" s="13">
        <v>-658</v>
      </c>
      <c r="AS152" s="13">
        <v>-688</v>
      </c>
      <c r="AT152" s="13">
        <f>1+40-4</f>
        <v>37</v>
      </c>
      <c r="AU152" s="13">
        <f t="shared" si="18"/>
        <v>3103</v>
      </c>
      <c r="AV152" s="13">
        <v>3246</v>
      </c>
      <c r="AW152" s="13">
        <v>1178</v>
      </c>
      <c r="AX152" s="13">
        <v>-116</v>
      </c>
      <c r="AY152" s="13">
        <v>-592</v>
      </c>
      <c r="AZ152" s="13">
        <v>-570</v>
      </c>
      <c r="BA152" s="13">
        <f>43-2</f>
        <v>41</v>
      </c>
      <c r="BB152" s="13">
        <f t="shared" si="19"/>
        <v>3187</v>
      </c>
      <c r="BC152" s="13">
        <v>0</v>
      </c>
    </row>
    <row r="153" spans="1:55" x14ac:dyDescent="0.25">
      <c r="A153" s="7">
        <v>18</v>
      </c>
      <c r="B153" s="7" t="s">
        <v>308</v>
      </c>
      <c r="C153" s="7" t="s">
        <v>377</v>
      </c>
      <c r="D153" s="7" t="s">
        <v>353</v>
      </c>
      <c r="E153" s="17"/>
      <c r="F153" s="17" t="s">
        <v>354</v>
      </c>
      <c r="G153" s="13">
        <v>25123033</v>
      </c>
      <c r="H153" s="13">
        <v>149249</v>
      </c>
      <c r="I153" s="13">
        <v>1771291</v>
      </c>
      <c r="J153" s="13">
        <v>7654818</v>
      </c>
      <c r="K153" s="13">
        <v>5694577</v>
      </c>
      <c r="L153" s="13">
        <v>3905864</v>
      </c>
      <c r="M153" s="13">
        <v>2363472</v>
      </c>
      <c r="N153" s="13">
        <v>20994342</v>
      </c>
      <c r="O153" s="19">
        <v>0.14000000000000001</v>
      </c>
      <c r="P153" s="13">
        <v>2106</v>
      </c>
      <c r="Q153" s="21">
        <f>1373966/20992571</f>
        <v>6.5450106135165623E-2</v>
      </c>
      <c r="R153" s="13">
        <v>1373684</v>
      </c>
      <c r="S153" s="13">
        <v>0</v>
      </c>
      <c r="T153" s="13">
        <v>735241</v>
      </c>
      <c r="U153" s="13">
        <v>71861</v>
      </c>
      <c r="V153" s="13">
        <v>175400</v>
      </c>
      <c r="W153" s="13">
        <v>112947</v>
      </c>
      <c r="X153" s="13">
        <v>11616</v>
      </c>
      <c r="Y153" s="13">
        <v>21360</v>
      </c>
      <c r="Z153" s="13">
        <v>5717</v>
      </c>
      <c r="AA153" s="13">
        <f>25440+38471+34930</f>
        <v>98841</v>
      </c>
      <c r="AB153" s="13">
        <v>10810</v>
      </c>
      <c r="AC153" s="13">
        <v>0</v>
      </c>
      <c r="AD153" s="13">
        <v>105618</v>
      </c>
      <c r="AE153" s="13">
        <v>0</v>
      </c>
      <c r="AF153" s="13">
        <v>1419786</v>
      </c>
      <c r="AG153" s="19">
        <f t="shared" si="17"/>
        <v>0</v>
      </c>
      <c r="AH153" s="13">
        <v>211719</v>
      </c>
      <c r="AI153" s="13">
        <v>124333</v>
      </c>
      <c r="AJ153" s="13">
        <v>0</v>
      </c>
      <c r="AK153" s="13">
        <v>183311</v>
      </c>
      <c r="AL153" s="13">
        <v>0</v>
      </c>
      <c r="AM153" s="13">
        <v>0</v>
      </c>
      <c r="AN153" s="13">
        <v>0</v>
      </c>
      <c r="AO153" s="13">
        <v>7978</v>
      </c>
      <c r="AP153" s="13">
        <v>2091</v>
      </c>
      <c r="AQ153" s="13">
        <v>-453</v>
      </c>
      <c r="AR153" s="13">
        <v>-1647</v>
      </c>
      <c r="AS153" s="13">
        <v>-1288</v>
      </c>
      <c r="AT153" s="13">
        <f>-1+14</f>
        <v>13</v>
      </c>
      <c r="AU153" s="13">
        <f t="shared" si="18"/>
        <v>6694</v>
      </c>
      <c r="AV153" s="13">
        <v>7752</v>
      </c>
      <c r="AW153" s="13">
        <v>2677</v>
      </c>
      <c r="AX153" s="13">
        <v>-347</v>
      </c>
      <c r="AY153" s="13">
        <v>-1579</v>
      </c>
      <c r="AZ153" s="13">
        <v>-1232</v>
      </c>
      <c r="BA153" s="13">
        <v>707</v>
      </c>
      <c r="BB153" s="13">
        <f t="shared" si="19"/>
        <v>7978</v>
      </c>
      <c r="BC153" s="13">
        <v>333</v>
      </c>
    </row>
    <row r="154" spans="1:55" x14ac:dyDescent="0.25">
      <c r="A154" s="7">
        <v>18</v>
      </c>
      <c r="B154" s="7" t="s">
        <v>371</v>
      </c>
      <c r="C154" s="7" t="s">
        <v>259</v>
      </c>
      <c r="D154" s="7" t="s">
        <v>501</v>
      </c>
      <c r="E154" s="17" t="s">
        <v>512</v>
      </c>
      <c r="F154" s="17" t="s">
        <v>504</v>
      </c>
      <c r="G154" s="13">
        <v>7080291</v>
      </c>
      <c r="H154" s="13">
        <v>20535</v>
      </c>
      <c r="I154" s="13">
        <v>871966</v>
      </c>
      <c r="J154" s="13">
        <v>3042876</v>
      </c>
      <c r="K154" s="13">
        <v>757116</v>
      </c>
      <c r="L154" s="13">
        <v>1215278</v>
      </c>
      <c r="M154" s="13">
        <v>540879</v>
      </c>
      <c r="N154" s="13">
        <v>6191620</v>
      </c>
      <c r="O154" s="19">
        <v>0.06</v>
      </c>
      <c r="P154" s="13">
        <v>58244</v>
      </c>
      <c r="Q154" s="21">
        <f>588566/6195428</f>
        <v>9.5000054879178647E-2</v>
      </c>
      <c r="R154" s="13">
        <v>587440</v>
      </c>
      <c r="S154" s="13">
        <v>0</v>
      </c>
      <c r="T154" s="13">
        <v>235494</v>
      </c>
      <c r="U154" s="13">
        <v>22512</v>
      </c>
      <c r="V154" s="13">
        <v>16758</v>
      </c>
      <c r="W154" s="13">
        <f>26785+3218</f>
        <v>30003</v>
      </c>
      <c r="X154" s="13">
        <v>2173</v>
      </c>
      <c r="Y154" s="13">
        <v>20306</v>
      </c>
      <c r="Z154" s="13">
        <v>1073</v>
      </c>
      <c r="AA154" s="13">
        <f>12615+27689+25573</f>
        <v>65877</v>
      </c>
      <c r="AB154" s="13">
        <v>7939</v>
      </c>
      <c r="AC154" s="13">
        <v>0</v>
      </c>
      <c r="AD154" s="13">
        <v>17232</v>
      </c>
      <c r="AE154" s="13">
        <v>0</v>
      </c>
      <c r="AF154" s="13">
        <v>451148</v>
      </c>
      <c r="AG154" s="19">
        <f t="shared" si="17"/>
        <v>0</v>
      </c>
      <c r="AH154" s="13">
        <v>17522</v>
      </c>
      <c r="AI154" s="13">
        <v>124333</v>
      </c>
      <c r="AJ154" s="13">
        <v>0</v>
      </c>
      <c r="AK154" s="13">
        <v>63140</v>
      </c>
      <c r="AL154" s="13">
        <v>0</v>
      </c>
      <c r="AM154" s="13">
        <v>0</v>
      </c>
      <c r="AN154" s="13">
        <v>0</v>
      </c>
      <c r="AO154" s="13">
        <v>1417</v>
      </c>
      <c r="AP154" s="13">
        <v>731</v>
      </c>
      <c r="AQ154" s="13">
        <v>-89</v>
      </c>
      <c r="AR154" s="13">
        <v>-201</v>
      </c>
      <c r="AS154" s="13">
        <v>-169</v>
      </c>
      <c r="AT154" s="13">
        <v>7</v>
      </c>
      <c r="AU154" s="13">
        <f t="shared" si="18"/>
        <v>1696</v>
      </c>
      <c r="AV154" s="13">
        <v>988</v>
      </c>
      <c r="AW154" s="13">
        <v>653</v>
      </c>
      <c r="AX154" s="13">
        <v>-36</v>
      </c>
      <c r="AY154" s="13">
        <v>-88</v>
      </c>
      <c r="AZ154" s="13">
        <v>-100</v>
      </c>
      <c r="BA154" s="13"/>
      <c r="BB154" s="13">
        <f t="shared" si="19"/>
        <v>1417</v>
      </c>
      <c r="BC154" s="13">
        <v>11</v>
      </c>
    </row>
    <row r="155" spans="1:55" x14ac:dyDescent="0.25">
      <c r="A155" s="7">
        <v>18</v>
      </c>
      <c r="B155" s="7" t="s">
        <v>385</v>
      </c>
      <c r="C155" s="7" t="s">
        <v>52</v>
      </c>
      <c r="D155" s="7" t="s">
        <v>213</v>
      </c>
      <c r="E155" s="17"/>
      <c r="F155" s="17" t="s">
        <v>214</v>
      </c>
      <c r="G155" s="13">
        <v>1869548</v>
      </c>
      <c r="H155" s="13">
        <v>6334</v>
      </c>
      <c r="I155" s="13">
        <v>65594</v>
      </c>
      <c r="J155" s="13">
        <v>856656</v>
      </c>
      <c r="K155" s="13">
        <v>258280</v>
      </c>
      <c r="L155" s="13">
        <v>359201</v>
      </c>
      <c r="M155" s="13">
        <v>143333</v>
      </c>
      <c r="N155" s="13">
        <v>1799612</v>
      </c>
      <c r="O155" s="19">
        <v>0.10299999999999999</v>
      </c>
      <c r="P155" s="13">
        <v>0</v>
      </c>
      <c r="Q155" s="21">
        <f>179961/1799612</f>
        <v>9.9999888864933106E-2</v>
      </c>
      <c r="R155" s="13">
        <v>180123</v>
      </c>
      <c r="S155" s="13">
        <v>0</v>
      </c>
      <c r="T155" s="13">
        <v>86971</v>
      </c>
      <c r="U155" s="13">
        <v>6369</v>
      </c>
      <c r="V155" s="13">
        <v>6717</v>
      </c>
      <c r="W155" s="13">
        <v>10560</v>
      </c>
      <c r="X155" s="13">
        <v>8500</v>
      </c>
      <c r="Y155" s="13">
        <v>0</v>
      </c>
      <c r="Z155" s="13">
        <v>0</v>
      </c>
      <c r="AA155" s="13">
        <f>911+3832+2866</f>
        <v>7609</v>
      </c>
      <c r="AB155" s="13">
        <v>550</v>
      </c>
      <c r="AC155" s="13">
        <v>600</v>
      </c>
      <c r="AD155" s="13">
        <v>0</v>
      </c>
      <c r="AE155" s="13">
        <v>111216</v>
      </c>
      <c r="AF155" s="13">
        <v>134719</v>
      </c>
      <c r="AG155" s="19">
        <f t="shared" si="17"/>
        <v>0.82554056963011901</v>
      </c>
      <c r="AH155" s="13">
        <v>297</v>
      </c>
      <c r="AI155" s="13">
        <v>51999</v>
      </c>
      <c r="AJ155" s="13">
        <v>0</v>
      </c>
      <c r="AK155" s="13">
        <v>306</v>
      </c>
      <c r="AL155" s="13">
        <v>0</v>
      </c>
      <c r="AM155" s="13">
        <v>0</v>
      </c>
      <c r="AN155" s="13">
        <v>0</v>
      </c>
      <c r="AO155" s="13">
        <v>589</v>
      </c>
      <c r="AP155" s="13">
        <v>289</v>
      </c>
      <c r="AQ155" s="13">
        <v>-48</v>
      </c>
      <c r="AR155" s="13">
        <v>-138</v>
      </c>
      <c r="AS155" s="13">
        <v>-108</v>
      </c>
      <c r="AT155" s="13">
        <f>427-289</f>
        <v>138</v>
      </c>
      <c r="AU155" s="13">
        <f t="shared" si="18"/>
        <v>722</v>
      </c>
      <c r="AV155" s="13">
        <v>594</v>
      </c>
      <c r="AW155" s="13">
        <v>188</v>
      </c>
      <c r="AX155" s="13">
        <v>-50</v>
      </c>
      <c r="AY155" s="13">
        <v>-67</v>
      </c>
      <c r="AZ155" s="13">
        <v>-139</v>
      </c>
      <c r="BA155" s="13">
        <f>251-188</f>
        <v>63</v>
      </c>
      <c r="BB155" s="13">
        <f t="shared" si="19"/>
        <v>589</v>
      </c>
      <c r="BC155" s="13">
        <v>5</v>
      </c>
    </row>
    <row r="156" spans="1:55" x14ac:dyDescent="0.25">
      <c r="A156" s="7">
        <v>18</v>
      </c>
      <c r="B156" s="7" t="s">
        <v>403</v>
      </c>
      <c r="C156" s="7" t="s">
        <v>367</v>
      </c>
      <c r="D156" s="7" t="s">
        <v>353</v>
      </c>
      <c r="E156" s="17"/>
      <c r="F156" s="17" t="s">
        <v>354</v>
      </c>
      <c r="G156" s="13">
        <v>334823</v>
      </c>
      <c r="H156" s="13">
        <v>536</v>
      </c>
      <c r="I156" s="13">
        <v>9534</v>
      </c>
      <c r="J156" s="13">
        <v>94478</v>
      </c>
      <c r="K156" s="13">
        <v>82372</v>
      </c>
      <c r="L156" s="13">
        <v>71480</v>
      </c>
      <c r="M156" s="13">
        <v>11015</v>
      </c>
      <c r="N156" s="13">
        <v>288186</v>
      </c>
      <c r="O156" s="19">
        <v>0.218</v>
      </c>
      <c r="P156" s="13">
        <v>1184</v>
      </c>
      <c r="Q156" s="21">
        <f>28689/286891</f>
        <v>9.9999651435562636E-2</v>
      </c>
      <c r="R156" s="13">
        <v>28705</v>
      </c>
      <c r="S156" s="13">
        <v>1000</v>
      </c>
      <c r="T156" s="13">
        <v>6865</v>
      </c>
      <c r="U156" s="13">
        <v>0</v>
      </c>
      <c r="V156" s="13">
        <v>0</v>
      </c>
      <c r="W156" s="13">
        <f>825+99</f>
        <v>924</v>
      </c>
      <c r="X156" s="13">
        <v>0</v>
      </c>
      <c r="Y156" s="13">
        <v>0</v>
      </c>
      <c r="Z156" s="13">
        <v>0</v>
      </c>
      <c r="AA156" s="13">
        <f>594+610+158</f>
        <v>1362</v>
      </c>
      <c r="AB156" s="13">
        <v>0</v>
      </c>
      <c r="AC156" s="13">
        <v>729</v>
      </c>
      <c r="AD156" s="13">
        <v>3014</v>
      </c>
      <c r="AE156" s="13">
        <v>14524</v>
      </c>
      <c r="AF156" s="13">
        <v>14666</v>
      </c>
      <c r="AG156" s="19">
        <f t="shared" si="17"/>
        <v>0.99031774171553255</v>
      </c>
      <c r="AH156" s="13">
        <v>3689</v>
      </c>
      <c r="AI156" s="13">
        <v>16288</v>
      </c>
      <c r="AJ156" s="13">
        <v>0</v>
      </c>
      <c r="AK156" s="13">
        <v>748</v>
      </c>
      <c r="AL156" s="13">
        <v>0</v>
      </c>
      <c r="AM156" s="13">
        <v>0</v>
      </c>
      <c r="AN156" s="13">
        <v>0</v>
      </c>
      <c r="AO156" s="13">
        <v>81</v>
      </c>
      <c r="AP156" s="13">
        <v>35</v>
      </c>
      <c r="AQ156" s="13">
        <v>-9</v>
      </c>
      <c r="AR156" s="13">
        <v>-14</v>
      </c>
      <c r="AS156" s="13">
        <v>-17</v>
      </c>
      <c r="AT156" s="13">
        <v>0</v>
      </c>
      <c r="AU156" s="13">
        <f t="shared" si="18"/>
        <v>76</v>
      </c>
      <c r="AV156" s="13">
        <v>87</v>
      </c>
      <c r="AW156" s="13">
        <v>33</v>
      </c>
      <c r="AX156" s="13">
        <v>-13</v>
      </c>
      <c r="AY156" s="13">
        <v>-18</v>
      </c>
      <c r="AZ156" s="13">
        <v>-9</v>
      </c>
      <c r="BA156" s="13">
        <v>1</v>
      </c>
      <c r="BB156" s="13">
        <f t="shared" si="19"/>
        <v>81</v>
      </c>
      <c r="BC156" s="13">
        <v>0</v>
      </c>
    </row>
    <row r="157" spans="1:55" x14ac:dyDescent="0.25">
      <c r="A157" s="7">
        <v>18</v>
      </c>
      <c r="B157" s="7" t="s">
        <v>428</v>
      </c>
      <c r="C157" s="7" t="s">
        <v>435</v>
      </c>
      <c r="D157" s="7" t="s">
        <v>501</v>
      </c>
      <c r="E157" s="17" t="s">
        <v>512</v>
      </c>
      <c r="F157" s="17" t="s">
        <v>504</v>
      </c>
      <c r="G157" s="13">
        <v>35948846</v>
      </c>
      <c r="H157" s="13">
        <v>109245</v>
      </c>
      <c r="I157" s="13">
        <v>2601211.4900000002</v>
      </c>
      <c r="J157" s="13">
        <v>16485089</v>
      </c>
      <c r="K157" s="13">
        <v>3113830</v>
      </c>
      <c r="L157" s="13">
        <v>10216271</v>
      </c>
      <c r="M157" s="13">
        <v>1416856</v>
      </c>
      <c r="N157" s="13">
        <v>33587235</v>
      </c>
      <c r="O157" s="19">
        <v>6.9000000000000006E-2</v>
      </c>
      <c r="P157" s="13">
        <v>2191441</v>
      </c>
      <c r="Q157" s="21">
        <f>2197212/31371265</f>
        <v>7.0038999064908597E-2</v>
      </c>
      <c r="R157" s="13">
        <v>2191442</v>
      </c>
      <c r="S157" s="13">
        <v>0</v>
      </c>
      <c r="T157" s="13">
        <v>1118184</v>
      </c>
      <c r="U157" s="13">
        <v>93763</v>
      </c>
      <c r="V157" s="13">
        <v>273937</v>
      </c>
      <c r="W157" s="13">
        <f>208211+893</f>
        <v>209104</v>
      </c>
      <c r="X157" s="13">
        <v>0</v>
      </c>
      <c r="Y157" s="13">
        <v>18466</v>
      </c>
      <c r="Z157" s="13">
        <v>31041</v>
      </c>
      <c r="AA157" s="13">
        <f>24933+91681+61744</f>
        <v>178358</v>
      </c>
      <c r="AB157" s="13">
        <v>7690</v>
      </c>
      <c r="AC157" s="13">
        <v>831</v>
      </c>
      <c r="AD157" s="13">
        <v>66553</v>
      </c>
      <c r="AE157" s="13">
        <v>0</v>
      </c>
      <c r="AF157" s="13">
        <v>2209635</v>
      </c>
      <c r="AG157" s="19">
        <f t="shared" si="17"/>
        <v>0</v>
      </c>
      <c r="AH157" s="13">
        <v>332874</v>
      </c>
      <c r="AI157" s="13">
        <v>124333</v>
      </c>
      <c r="AJ157" s="13">
        <v>0</v>
      </c>
      <c r="AK157" s="13">
        <v>328407</v>
      </c>
      <c r="AL157" s="13">
        <v>0</v>
      </c>
      <c r="AM157" s="13">
        <v>0</v>
      </c>
      <c r="AN157" s="13">
        <v>0</v>
      </c>
      <c r="AO157" s="13">
        <v>5371</v>
      </c>
      <c r="AP157" s="13">
        <v>2725</v>
      </c>
      <c r="AQ157" s="13">
        <v>-348</v>
      </c>
      <c r="AR157" s="13">
        <v>-1125</v>
      </c>
      <c r="AS157" s="13">
        <v>-1026</v>
      </c>
      <c r="AT157" s="13">
        <f>1+37-3</f>
        <v>35</v>
      </c>
      <c r="AU157" s="13">
        <f t="shared" si="18"/>
        <v>5632</v>
      </c>
      <c r="AV157" s="13">
        <v>5378</v>
      </c>
      <c r="AW157" s="13">
        <v>2198</v>
      </c>
      <c r="AX157" s="13">
        <v>-317</v>
      </c>
      <c r="AY157" s="13">
        <v>-1005</v>
      </c>
      <c r="AZ157" s="13">
        <v>-909</v>
      </c>
      <c r="BA157" s="13">
        <f>28-2</f>
        <v>26</v>
      </c>
      <c r="BB157" s="13">
        <f t="shared" si="19"/>
        <v>5371</v>
      </c>
      <c r="BC157" s="13">
        <v>39</v>
      </c>
    </row>
    <row r="158" spans="1:55" x14ac:dyDescent="0.25">
      <c r="A158" s="7">
        <v>18</v>
      </c>
      <c r="B158" s="7" t="s">
        <v>456</v>
      </c>
      <c r="C158" s="7" t="s">
        <v>97</v>
      </c>
      <c r="D158" s="7" t="s">
        <v>213</v>
      </c>
      <c r="E158" s="17"/>
      <c r="F158" s="17" t="s">
        <v>214</v>
      </c>
      <c r="G158" s="13">
        <v>2381351</v>
      </c>
      <c r="H158" s="13">
        <v>9882</v>
      </c>
      <c r="I158" s="13">
        <v>209323</v>
      </c>
      <c r="J158" s="13">
        <v>1136609</v>
      </c>
      <c r="K158" s="13">
        <v>362779</v>
      </c>
      <c r="L158" s="13">
        <v>484538</v>
      </c>
      <c r="M158" s="13">
        <v>102645</v>
      </c>
      <c r="N158" s="13">
        <v>2329337</v>
      </c>
      <c r="O158" s="19">
        <v>5.9499999999999997E-2</v>
      </c>
      <c r="P158" s="13">
        <v>0</v>
      </c>
      <c r="Q158" s="21">
        <f>232736/2327356</f>
        <v>0.10000017186885032</v>
      </c>
      <c r="R158" s="13">
        <v>221708</v>
      </c>
      <c r="S158" s="13">
        <v>0</v>
      </c>
      <c r="T158" s="13">
        <v>90305</v>
      </c>
      <c r="U158" s="13">
        <v>7470</v>
      </c>
      <c r="V158" s="13">
        <v>8447</v>
      </c>
      <c r="W158" s="13">
        <f>8067+1324</f>
        <v>9391</v>
      </c>
      <c r="X158" s="13">
        <v>0</v>
      </c>
      <c r="Y158" s="13">
        <v>6669</v>
      </c>
      <c r="Z158" s="13">
        <v>423</v>
      </c>
      <c r="AA158" s="13">
        <f>2428+4130+2309</f>
        <v>8867</v>
      </c>
      <c r="AB158" s="13">
        <v>1767</v>
      </c>
      <c r="AC158" s="13">
        <v>113</v>
      </c>
      <c r="AD158" s="13">
        <v>200</v>
      </c>
      <c r="AE158" s="13">
        <v>62251</v>
      </c>
      <c r="AF158" s="13">
        <v>143204</v>
      </c>
      <c r="AG158" s="19">
        <f t="shared" si="17"/>
        <v>0.43470154464959082</v>
      </c>
      <c r="AH158" s="13">
        <v>0</v>
      </c>
      <c r="AI158" s="13">
        <v>85606</v>
      </c>
      <c r="AJ158" s="13">
        <v>0</v>
      </c>
      <c r="AK158" s="13">
        <v>4811</v>
      </c>
      <c r="AL158" s="13">
        <v>0</v>
      </c>
      <c r="AM158" s="13">
        <v>0</v>
      </c>
      <c r="AN158" s="13">
        <v>0</v>
      </c>
      <c r="AO158" s="13">
        <v>668</v>
      </c>
      <c r="AP158" s="13">
        <v>0</v>
      </c>
      <c r="AQ158" s="13">
        <v>-36</v>
      </c>
      <c r="AR158" s="13">
        <v>-66</v>
      </c>
      <c r="AS158" s="13">
        <v>-156</v>
      </c>
      <c r="AT158" s="13">
        <v>0</v>
      </c>
      <c r="AU158" s="13">
        <f t="shared" si="18"/>
        <v>410</v>
      </c>
      <c r="AV158" s="13">
        <v>708</v>
      </c>
      <c r="AW158" s="13">
        <v>268</v>
      </c>
      <c r="AX158" s="13">
        <v>-45</v>
      </c>
      <c r="AY158" s="13">
        <v>-97</v>
      </c>
      <c r="AZ158" s="13">
        <v>-166</v>
      </c>
      <c r="BA158" s="13">
        <v>0</v>
      </c>
      <c r="BB158" s="13">
        <f t="shared" si="19"/>
        <v>668</v>
      </c>
      <c r="BC158" s="13">
        <v>2</v>
      </c>
    </row>
    <row r="159" spans="1:55" x14ac:dyDescent="0.25">
      <c r="A159" s="7">
        <v>18</v>
      </c>
      <c r="B159" s="7" t="s">
        <v>535</v>
      </c>
      <c r="C159" s="7" t="s">
        <v>283</v>
      </c>
      <c r="D159" s="7" t="s">
        <v>213</v>
      </c>
      <c r="E159" s="17"/>
      <c r="F159" s="17" t="s">
        <v>214</v>
      </c>
      <c r="G159" s="13">
        <v>1664317</v>
      </c>
      <c r="H159" s="13">
        <v>3779</v>
      </c>
      <c r="I159" s="13">
        <v>41232</v>
      </c>
      <c r="J159" s="13">
        <v>738833</v>
      </c>
      <c r="K159" s="13">
        <v>247220</v>
      </c>
      <c r="L159" s="13">
        <v>312551</v>
      </c>
      <c r="M159" s="13">
        <v>129946</v>
      </c>
      <c r="N159" s="13">
        <v>1591955</v>
      </c>
      <c r="O159" s="19">
        <v>0.08</v>
      </c>
      <c r="P159" s="13">
        <v>0.1</v>
      </c>
      <c r="Q159" s="21">
        <v>0.1</v>
      </c>
      <c r="R159" s="13">
        <v>158924</v>
      </c>
      <c r="S159" s="13">
        <v>0</v>
      </c>
      <c r="T159" s="13">
        <v>53730</v>
      </c>
      <c r="U159" s="13">
        <v>5122</v>
      </c>
      <c r="V159" s="2">
        <v>2685</v>
      </c>
      <c r="W159" s="13">
        <f>6500+424</f>
        <v>6924</v>
      </c>
      <c r="X159" s="13">
        <v>550</v>
      </c>
      <c r="Y159" s="13">
        <v>9415</v>
      </c>
      <c r="Z159" s="13">
        <v>0</v>
      </c>
      <c r="AA159" s="13">
        <f>5021+3502+4263</f>
        <v>12786</v>
      </c>
      <c r="AB159" s="13">
        <v>96</v>
      </c>
      <c r="AC159" s="13">
        <v>3925</v>
      </c>
      <c r="AD159" s="13">
        <v>0</v>
      </c>
      <c r="AE159" s="13">
        <v>69622</v>
      </c>
      <c r="AF159" s="13">
        <v>106782</v>
      </c>
      <c r="AG159" s="19">
        <f t="shared" si="17"/>
        <v>0.65200127362289528</v>
      </c>
      <c r="AH159" s="13">
        <v>140</v>
      </c>
      <c r="AI159" s="13">
        <v>58884</v>
      </c>
      <c r="AJ159" s="13">
        <v>0</v>
      </c>
      <c r="AK159" s="13">
        <v>591</v>
      </c>
      <c r="AL159" s="13">
        <v>0</v>
      </c>
      <c r="AM159" s="13">
        <v>0</v>
      </c>
      <c r="AN159" s="13">
        <v>0</v>
      </c>
      <c r="AO159" s="13">
        <v>595</v>
      </c>
      <c r="AP159" s="13">
        <v>253</v>
      </c>
      <c r="AQ159" s="13">
        <v>-48</v>
      </c>
      <c r="AR159" s="13">
        <v>-87</v>
      </c>
      <c r="AS159" s="13">
        <v>-127</v>
      </c>
      <c r="AT159" s="13">
        <v>4</v>
      </c>
      <c r="AU159" s="13">
        <f t="shared" si="18"/>
        <v>590</v>
      </c>
      <c r="AV159" s="13">
        <v>527</v>
      </c>
      <c r="AW159" s="13">
        <v>281</v>
      </c>
      <c r="AX159" s="13">
        <v>-46</v>
      </c>
      <c r="AY159" s="13">
        <v>-76</v>
      </c>
      <c r="AZ159" s="13">
        <v>-107</v>
      </c>
      <c r="BA159" s="13">
        <v>16</v>
      </c>
      <c r="BB159" s="13">
        <f t="shared" si="19"/>
        <v>595</v>
      </c>
      <c r="BC159" s="13">
        <v>0</v>
      </c>
    </row>
    <row r="160" spans="1:55" x14ac:dyDescent="0.25">
      <c r="A160" s="7">
        <v>19</v>
      </c>
      <c r="B160" s="7" t="s">
        <v>142</v>
      </c>
      <c r="C160" s="7" t="s">
        <v>87</v>
      </c>
      <c r="D160" s="7" t="s">
        <v>529</v>
      </c>
      <c r="E160" s="17"/>
      <c r="F160" s="17" t="s">
        <v>530</v>
      </c>
      <c r="G160" s="13">
        <f>965035+1506661</f>
        <v>2471696</v>
      </c>
      <c r="H160" s="13">
        <f>6165+9450+1466+834</f>
        <v>17915</v>
      </c>
      <c r="I160" s="13">
        <v>61507</v>
      </c>
      <c r="J160" s="13">
        <v>844356</v>
      </c>
      <c r="K160" s="13">
        <v>319882</v>
      </c>
      <c r="L160" s="13">
        <v>906153</v>
      </c>
      <c r="M160" s="13">
        <v>63787</v>
      </c>
      <c r="N160" s="13">
        <v>2372816</v>
      </c>
      <c r="O160" s="19">
        <v>0.17249999999999999</v>
      </c>
      <c r="P160" s="13">
        <v>0</v>
      </c>
      <c r="Q160" s="21">
        <f>228120/2367723</f>
        <v>9.6345729631380023E-2</v>
      </c>
      <c r="R160" s="13">
        <v>228125</v>
      </c>
      <c r="S160" s="13">
        <v>0</v>
      </c>
      <c r="T160" s="13">
        <v>71473</v>
      </c>
      <c r="U160" s="13">
        <v>6233</v>
      </c>
      <c r="V160" s="13">
        <v>0</v>
      </c>
      <c r="W160" s="13">
        <v>9300</v>
      </c>
      <c r="X160" s="13">
        <v>11403</v>
      </c>
      <c r="Y160" s="13">
        <v>665</v>
      </c>
      <c r="Z160" s="13">
        <v>9084</v>
      </c>
      <c r="AA160" s="13">
        <f>2305+4171+3873</f>
        <v>10349</v>
      </c>
      <c r="AB160" s="13">
        <v>2881</v>
      </c>
      <c r="AC160" s="13">
        <v>0</v>
      </c>
      <c r="AD160" s="13">
        <v>1806</v>
      </c>
      <c r="AE160" s="13">
        <v>27564</v>
      </c>
      <c r="AF160" s="13">
        <v>134078</v>
      </c>
      <c r="AG160" s="19">
        <f t="shared" si="17"/>
        <v>0.20558182550455706</v>
      </c>
      <c r="AH160" s="13">
        <v>24372</v>
      </c>
      <c r="AI160" s="13">
        <v>120377</v>
      </c>
      <c r="AJ160" s="13">
        <v>0</v>
      </c>
      <c r="AK160" s="13">
        <v>17331</v>
      </c>
      <c r="AL160" s="13">
        <v>0</v>
      </c>
      <c r="AM160" s="13">
        <v>0</v>
      </c>
      <c r="AN160" s="13">
        <v>0</v>
      </c>
      <c r="AO160" s="13">
        <v>690</v>
      </c>
      <c r="AP160" s="13">
        <v>166</v>
      </c>
      <c r="AQ160" s="13">
        <v>-26</v>
      </c>
      <c r="AR160" s="13">
        <v>-77</v>
      </c>
      <c r="AS160" s="13">
        <v>-171</v>
      </c>
      <c r="AT160" s="13">
        <f>5-1</f>
        <v>4</v>
      </c>
      <c r="AU160" s="13">
        <f t="shared" si="18"/>
        <v>586</v>
      </c>
      <c r="AV160" s="13">
        <v>836</v>
      </c>
      <c r="AW160" s="13">
        <v>93</v>
      </c>
      <c r="AX160" s="13">
        <v>-27</v>
      </c>
      <c r="AY160" s="13">
        <v>-103</v>
      </c>
      <c r="AZ160" s="13">
        <v>-110</v>
      </c>
      <c r="BA160" s="13">
        <v>1</v>
      </c>
      <c r="BB160" s="13">
        <f t="shared" si="19"/>
        <v>690</v>
      </c>
      <c r="BC160" s="13">
        <v>0</v>
      </c>
    </row>
    <row r="161" spans="1:55" x14ac:dyDescent="0.25">
      <c r="A161" s="7">
        <v>19</v>
      </c>
      <c r="B161" s="7" t="s">
        <v>401</v>
      </c>
      <c r="C161" s="7" t="s">
        <v>418</v>
      </c>
      <c r="D161" s="7" t="s">
        <v>494</v>
      </c>
      <c r="E161" s="17"/>
      <c r="F161" s="17" t="s">
        <v>495</v>
      </c>
      <c r="G161" s="13">
        <v>2637619</v>
      </c>
      <c r="H161" s="13">
        <v>3079</v>
      </c>
      <c r="I161" s="13">
        <v>25832</v>
      </c>
      <c r="J161" s="13">
        <v>312568</v>
      </c>
      <c r="K161" s="13">
        <v>313693</v>
      </c>
      <c r="L161" s="13">
        <v>2080740</v>
      </c>
      <c r="M161" s="13">
        <v>100</v>
      </c>
      <c r="N161" s="13">
        <v>3013822</v>
      </c>
      <c r="O161" s="19">
        <v>4.1700000000000001E-2</v>
      </c>
      <c r="P161" s="13">
        <v>0</v>
      </c>
      <c r="Q161" s="21">
        <f>301318/3013175</f>
        <v>0.10000016593792262</v>
      </c>
      <c r="R161" s="13">
        <v>301301</v>
      </c>
      <c r="S161" s="13">
        <v>0</v>
      </c>
      <c r="T161" s="13">
        <v>187894</v>
      </c>
      <c r="U161" s="13">
        <v>17154</v>
      </c>
      <c r="V161" s="13">
        <v>18507</v>
      </c>
      <c r="W161" s="13">
        <v>5164</v>
      </c>
      <c r="X161" s="13">
        <v>0</v>
      </c>
      <c r="Y161" s="13">
        <v>0</v>
      </c>
      <c r="Z161" s="13">
        <v>0</v>
      </c>
      <c r="AA161" s="13">
        <f>4954+810-82</f>
        <v>5682</v>
      </c>
      <c r="AB161" s="13">
        <v>0</v>
      </c>
      <c r="AC161" s="13">
        <v>568</v>
      </c>
      <c r="AD161" s="13"/>
      <c r="AE161" s="13">
        <v>87781</v>
      </c>
      <c r="AF161" s="13">
        <v>258738</v>
      </c>
      <c r="AG161" s="19">
        <f t="shared" si="17"/>
        <v>0.33926597562012539</v>
      </c>
      <c r="AH161" s="13">
        <v>76292</v>
      </c>
      <c r="AI161" s="13">
        <v>124328</v>
      </c>
      <c r="AJ161" s="13">
        <v>0</v>
      </c>
      <c r="AK161" s="13">
        <v>401</v>
      </c>
      <c r="AL161" s="13">
        <v>0</v>
      </c>
      <c r="AM161" s="13">
        <v>0</v>
      </c>
      <c r="AN161" s="13">
        <v>0</v>
      </c>
      <c r="AO161" s="13">
        <v>1210</v>
      </c>
      <c r="AP161" s="13">
        <v>0</v>
      </c>
      <c r="AQ161" s="13">
        <v>-9</v>
      </c>
      <c r="AR161" s="13">
        <v>-33</v>
      </c>
      <c r="AS161" s="13">
        <v>-598</v>
      </c>
      <c r="AT161" s="13"/>
      <c r="AU161" s="13">
        <f t="shared" si="18"/>
        <v>570</v>
      </c>
      <c r="AV161" s="13">
        <v>1710</v>
      </c>
      <c r="AW161" s="13">
        <v>256</v>
      </c>
      <c r="AX161" s="13">
        <v>-24</v>
      </c>
      <c r="AY161" s="13">
        <v>-103</v>
      </c>
      <c r="AZ161" s="13">
        <v>-629</v>
      </c>
      <c r="BA161" s="13">
        <v>0</v>
      </c>
      <c r="BB161" s="13">
        <f t="shared" si="19"/>
        <v>1210</v>
      </c>
      <c r="BC161" s="13">
        <v>18</v>
      </c>
    </row>
    <row r="162" spans="1:55" x14ac:dyDescent="0.25">
      <c r="A162" s="7">
        <v>19</v>
      </c>
      <c r="B162" s="7" t="s">
        <v>482</v>
      </c>
      <c r="C162" s="7" t="s">
        <v>418</v>
      </c>
      <c r="D162" s="7" t="s">
        <v>494</v>
      </c>
      <c r="E162" s="17"/>
      <c r="F162" s="17" t="s">
        <v>495</v>
      </c>
      <c r="G162" s="13">
        <v>15068827</v>
      </c>
      <c r="H162" s="13">
        <v>125689</v>
      </c>
      <c r="I162" s="13">
        <v>1127918</v>
      </c>
      <c r="J162" s="13">
        <v>6592450</v>
      </c>
      <c r="K162" s="13">
        <v>1059799</v>
      </c>
      <c r="L162" s="13">
        <v>2349944</v>
      </c>
      <c r="M162" s="13">
        <v>1885879</v>
      </c>
      <c r="N162" s="13">
        <v>12889736</v>
      </c>
      <c r="O162" s="19">
        <v>0.2445</v>
      </c>
      <c r="P162" s="13">
        <v>0</v>
      </c>
      <c r="Q162" s="21">
        <f>742628/12673965</f>
        <v>5.8594764937413037E-2</v>
      </c>
      <c r="R162" s="13">
        <v>740142</v>
      </c>
      <c r="S162" s="13">
        <v>848885</v>
      </c>
      <c r="T162" s="13">
        <v>445418</v>
      </c>
      <c r="U162" s="13">
        <v>38818</v>
      </c>
      <c r="V162" s="13">
        <v>44076</v>
      </c>
      <c r="W162" s="13">
        <v>81306</v>
      </c>
      <c r="X162" s="13">
        <v>1574</v>
      </c>
      <c r="Y162" s="13">
        <v>16716</v>
      </c>
      <c r="Z162" s="13">
        <v>20036</v>
      </c>
      <c r="AA162" s="13">
        <f>13186+25883+24813</f>
        <v>63882</v>
      </c>
      <c r="AB162" s="13">
        <v>8033</v>
      </c>
      <c r="AC162" s="13">
        <v>9553</v>
      </c>
      <c r="AD162" s="13">
        <v>111105</v>
      </c>
      <c r="AE162" s="13">
        <v>20036</v>
      </c>
      <c r="AF162" s="13">
        <v>924100</v>
      </c>
      <c r="AG162" s="19">
        <f t="shared" si="17"/>
        <v>2.1681636186559897E-2</v>
      </c>
      <c r="AH162" s="13">
        <v>74020</v>
      </c>
      <c r="AI162" s="13">
        <v>124333</v>
      </c>
      <c r="AJ162" s="13">
        <v>0</v>
      </c>
      <c r="AK162" s="13">
        <v>146319</v>
      </c>
      <c r="AL162" s="13">
        <v>0</v>
      </c>
      <c r="AM162" s="13">
        <v>0</v>
      </c>
      <c r="AN162" s="13">
        <v>0</v>
      </c>
      <c r="AO162" s="13">
        <v>4097</v>
      </c>
      <c r="AP162" s="13">
        <v>3555</v>
      </c>
      <c r="AQ162" s="13">
        <v>-1361</v>
      </c>
      <c r="AR162" s="13">
        <v>-194</v>
      </c>
      <c r="AS162" s="13">
        <v>-152</v>
      </c>
      <c r="AT162" s="13">
        <v>-5</v>
      </c>
      <c r="AU162" s="13">
        <f t="shared" si="18"/>
        <v>5940</v>
      </c>
      <c r="AV162" s="13">
        <v>2483</v>
      </c>
      <c r="AW162" s="13">
        <v>2618</v>
      </c>
      <c r="AX162" s="13">
        <v>-153</v>
      </c>
      <c r="AY162" s="13">
        <v>-795</v>
      </c>
      <c r="AZ162" s="13">
        <v>-56</v>
      </c>
      <c r="BA162" s="13"/>
      <c r="BB162" s="13">
        <f t="shared" si="19"/>
        <v>4097</v>
      </c>
      <c r="BC162" s="13">
        <v>0</v>
      </c>
    </row>
    <row r="163" spans="1:55" x14ac:dyDescent="0.25">
      <c r="A163" s="7">
        <v>19</v>
      </c>
      <c r="B163" s="7" t="s">
        <v>534</v>
      </c>
      <c r="C163" s="7" t="s">
        <v>127</v>
      </c>
      <c r="D163" s="7" t="s">
        <v>96</v>
      </c>
      <c r="E163" s="17"/>
      <c r="F163" s="17" t="s">
        <v>99</v>
      </c>
      <c r="G163" s="13">
        <v>16707769</v>
      </c>
      <c r="H163" s="13">
        <v>213741</v>
      </c>
      <c r="I163" s="13">
        <v>972881</v>
      </c>
      <c r="J163" s="13">
        <v>6490750</v>
      </c>
      <c r="K163" s="13">
        <v>3305168</v>
      </c>
      <c r="L163" s="13">
        <v>4483733</v>
      </c>
      <c r="M163" s="13">
        <v>1907462</v>
      </c>
      <c r="N163" s="13">
        <v>16886577</v>
      </c>
      <c r="O163" s="19">
        <v>0.31</v>
      </c>
      <c r="P163" s="13">
        <v>0</v>
      </c>
      <c r="Q163" s="21">
        <f>687390/16886577</f>
        <v>4.0706295894070182E-2</v>
      </c>
      <c r="R163" s="13">
        <v>657681</v>
      </c>
      <c r="S163" s="13">
        <v>0</v>
      </c>
      <c r="T163" s="13">
        <v>505158</v>
      </c>
      <c r="U163" s="13">
        <v>41250</v>
      </c>
      <c r="V163" s="13">
        <v>103033</v>
      </c>
      <c r="W163" s="13">
        <v>52480</v>
      </c>
      <c r="X163" s="13">
        <v>2276</v>
      </c>
      <c r="Y163" s="13">
        <v>2749</v>
      </c>
      <c r="Z163" s="13">
        <v>4937</v>
      </c>
      <c r="AA163" s="13">
        <f>6803+18269+10272</f>
        <v>35344</v>
      </c>
      <c r="AB163" s="13">
        <v>1738</v>
      </c>
      <c r="AC163" s="13">
        <v>0</v>
      </c>
      <c r="AD163" s="13">
        <v>16015</v>
      </c>
      <c r="AE163" s="13">
        <v>6240</v>
      </c>
      <c r="AF163" s="13">
        <v>822483</v>
      </c>
      <c r="AG163" s="19">
        <f t="shared" ref="AG163:AG194" si="20">AE163/AF163</f>
        <v>7.5867829487053229E-3</v>
      </c>
      <c r="AH163" s="13">
        <v>152779</v>
      </c>
      <c r="AI163" s="13">
        <v>125272</v>
      </c>
      <c r="AJ163" s="13">
        <v>939</v>
      </c>
      <c r="AK163" s="13">
        <v>71445</v>
      </c>
      <c r="AL163" s="13">
        <v>0</v>
      </c>
      <c r="AM163" s="13">
        <v>0</v>
      </c>
      <c r="AN163" s="13">
        <v>0</v>
      </c>
      <c r="AO163" s="13">
        <v>6119</v>
      </c>
      <c r="AP163" s="13">
        <v>2935</v>
      </c>
      <c r="AQ163" s="13">
        <v>-287</v>
      </c>
      <c r="AR163" s="13">
        <v>-1473</v>
      </c>
      <c r="AS163" s="13">
        <v>-1719</v>
      </c>
      <c r="AT163" s="13">
        <f>1+48</f>
        <v>49</v>
      </c>
      <c r="AU163" s="13">
        <f t="shared" si="18"/>
        <v>5624</v>
      </c>
      <c r="AV163" s="13">
        <v>7236</v>
      </c>
      <c r="AW163" s="13">
        <v>2629</v>
      </c>
      <c r="AX163" s="13">
        <v>-266</v>
      </c>
      <c r="AY163" s="13">
        <v>-1632</v>
      </c>
      <c r="AZ163" s="13">
        <v>-1882</v>
      </c>
      <c r="BA163" s="13">
        <v>34</v>
      </c>
      <c r="BB163" s="13">
        <f t="shared" si="19"/>
        <v>6119</v>
      </c>
      <c r="BC163" s="13">
        <v>4</v>
      </c>
    </row>
    <row r="164" spans="1:55" x14ac:dyDescent="0.25">
      <c r="A164" s="7">
        <v>20</v>
      </c>
      <c r="B164" s="7" t="s">
        <v>55</v>
      </c>
      <c r="C164" s="7" t="s">
        <v>307</v>
      </c>
      <c r="D164" s="7" t="s">
        <v>347</v>
      </c>
      <c r="E164" s="17" t="s">
        <v>143</v>
      </c>
      <c r="F164" s="17" t="s">
        <v>348</v>
      </c>
      <c r="G164" s="13">
        <v>2765760</v>
      </c>
      <c r="H164" s="13">
        <v>2671</v>
      </c>
      <c r="I164" s="13">
        <v>40836</v>
      </c>
      <c r="J164" s="13">
        <v>1712612</v>
      </c>
      <c r="K164" s="13">
        <v>221136</v>
      </c>
      <c r="L164" s="13">
        <v>261511</v>
      </c>
      <c r="M164" s="13">
        <v>133360</v>
      </c>
      <c r="N164" s="13">
        <v>2588625</v>
      </c>
      <c r="O164" s="19">
        <v>0.11799999999999999</v>
      </c>
      <c r="P164" s="13">
        <v>0</v>
      </c>
      <c r="Q164" s="21">
        <f>258863/2588625</f>
        <v>0.10000019315273552</v>
      </c>
      <c r="R164" s="13">
        <v>258159</v>
      </c>
      <c r="S164" s="13">
        <v>0</v>
      </c>
      <c r="T164" s="13">
        <v>39552</v>
      </c>
      <c r="U164" s="13">
        <v>3327</v>
      </c>
      <c r="V164" s="13">
        <v>5324</v>
      </c>
      <c r="W164" s="13">
        <v>10080</v>
      </c>
      <c r="X164" s="13">
        <v>5388</v>
      </c>
      <c r="Y164" s="13">
        <v>5784</v>
      </c>
      <c r="Z164" s="13">
        <v>0</v>
      </c>
      <c r="AA164" s="13">
        <f>6379+11439+6912</f>
        <v>24730</v>
      </c>
      <c r="AB164" s="13">
        <v>4543</v>
      </c>
      <c r="AC164" s="13">
        <v>0</v>
      </c>
      <c r="AD164" s="13">
        <v>12168</v>
      </c>
      <c r="AE164" s="13">
        <v>17578</v>
      </c>
      <c r="AF164" s="13">
        <v>133557</v>
      </c>
      <c r="AG164" s="19">
        <f t="shared" si="20"/>
        <v>0.13161421715072966</v>
      </c>
      <c r="AH164" s="13">
        <v>325</v>
      </c>
      <c r="AI164" s="13">
        <v>124108</v>
      </c>
      <c r="AJ164" s="13">
        <v>0</v>
      </c>
      <c r="AK164" s="13">
        <v>3532</v>
      </c>
      <c r="AL164" s="13">
        <v>0</v>
      </c>
      <c r="AM164" s="13">
        <v>0</v>
      </c>
      <c r="AN164" s="13">
        <v>0</v>
      </c>
      <c r="AO164" s="13">
        <v>450</v>
      </c>
      <c r="AP164" s="13">
        <v>296</v>
      </c>
      <c r="AQ164" s="13">
        <v>-42</v>
      </c>
      <c r="AR164" s="13">
        <v>-79</v>
      </c>
      <c r="AS164" s="13">
        <v>-72</v>
      </c>
      <c r="AT164" s="13">
        <v>-5</v>
      </c>
      <c r="AU164" s="13">
        <f t="shared" si="18"/>
        <v>548</v>
      </c>
      <c r="AV164" s="13">
        <v>404</v>
      </c>
      <c r="AW164" s="13">
        <v>192</v>
      </c>
      <c r="AX164" s="13">
        <v>-23</v>
      </c>
      <c r="AY164" s="13">
        <v>-49</v>
      </c>
      <c r="AZ164" s="13">
        <v>-74</v>
      </c>
      <c r="BA164" s="13">
        <v>0</v>
      </c>
      <c r="BB164" s="13">
        <f t="shared" si="19"/>
        <v>450</v>
      </c>
      <c r="BC164" s="13">
        <v>0</v>
      </c>
    </row>
    <row r="165" spans="1:55" x14ac:dyDescent="0.25">
      <c r="A165" s="7">
        <v>20</v>
      </c>
      <c r="B165" s="7" t="s">
        <v>145</v>
      </c>
      <c r="C165" s="7" t="s">
        <v>488</v>
      </c>
      <c r="D165" s="7" t="s">
        <v>347</v>
      </c>
      <c r="E165" s="17" t="s">
        <v>331</v>
      </c>
      <c r="F165" s="17" t="s">
        <v>348</v>
      </c>
      <c r="G165" s="13">
        <v>9112607</v>
      </c>
      <c r="H165" s="13">
        <v>21147</v>
      </c>
      <c r="I165" s="13">
        <v>149358</v>
      </c>
      <c r="J165" s="13">
        <v>4801534</v>
      </c>
      <c r="K165" s="13">
        <v>936469</v>
      </c>
      <c r="L165" s="13">
        <v>1989670</v>
      </c>
      <c r="M165" s="13">
        <v>540756</v>
      </c>
      <c r="N165" s="13">
        <v>8723023</v>
      </c>
      <c r="O165" s="19">
        <v>0.08</v>
      </c>
      <c r="P165" s="13">
        <v>0</v>
      </c>
      <c r="Q165" s="21">
        <f>452223/8685973</f>
        <v>5.2063597250417426E-2</v>
      </c>
      <c r="R165" s="13">
        <v>452241</v>
      </c>
      <c r="S165" s="13">
        <v>0</v>
      </c>
      <c r="T165" s="13">
        <v>165674</v>
      </c>
      <c r="U165" s="13">
        <v>14333</v>
      </c>
      <c r="V165" s="13">
        <v>10617</v>
      </c>
      <c r="W165" s="13">
        <v>16000</v>
      </c>
      <c r="X165" s="13">
        <v>6300</v>
      </c>
      <c r="Y165" s="13">
        <v>8867</v>
      </c>
      <c r="Z165" s="13">
        <v>1122</v>
      </c>
      <c r="AA165" s="13">
        <f>6064+19080+19984</f>
        <v>45128</v>
      </c>
      <c r="AB165" s="13">
        <v>6561</v>
      </c>
      <c r="AC165" s="13">
        <v>871</v>
      </c>
      <c r="AD165" s="13">
        <v>12787</v>
      </c>
      <c r="AE165" s="13">
        <v>196007</v>
      </c>
      <c r="AF165" s="13">
        <v>335381</v>
      </c>
      <c r="AG165" s="19">
        <f t="shared" si="20"/>
        <v>0.58443084134163836</v>
      </c>
      <c r="AH165" s="13">
        <v>26878</v>
      </c>
      <c r="AI165" s="13">
        <v>124333</v>
      </c>
      <c r="AJ165" s="13">
        <v>0</v>
      </c>
      <c r="AK165" s="13">
        <v>44424</v>
      </c>
      <c r="AL165" s="13">
        <v>0</v>
      </c>
      <c r="AM165" s="13">
        <v>0</v>
      </c>
      <c r="AN165" s="13">
        <v>0</v>
      </c>
      <c r="AO165" s="13">
        <v>1813</v>
      </c>
      <c r="AP165" s="13">
        <v>946</v>
      </c>
      <c r="AQ165" s="13">
        <v>-145</v>
      </c>
      <c r="AR165" s="13">
        <v>-279</v>
      </c>
      <c r="AS165" s="13">
        <v>-399</v>
      </c>
      <c r="AT165" s="13">
        <f>3+8-1</f>
        <v>10</v>
      </c>
      <c r="AU165" s="13">
        <f t="shared" si="18"/>
        <v>1946</v>
      </c>
      <c r="AV165" s="13">
        <v>1798</v>
      </c>
      <c r="AW165" s="13">
        <v>707</v>
      </c>
      <c r="AX165" s="13">
        <v>-145</v>
      </c>
      <c r="AY165" s="13">
        <v>-243</v>
      </c>
      <c r="AZ165" s="13">
        <v>-313</v>
      </c>
      <c r="BA165" s="13">
        <f>12-1-2</f>
        <v>9</v>
      </c>
      <c r="BB165" s="13">
        <f t="shared" si="19"/>
        <v>1813</v>
      </c>
      <c r="BC165" s="13">
        <v>1</v>
      </c>
    </row>
    <row r="166" spans="1:55" x14ac:dyDescent="0.25">
      <c r="A166" s="7">
        <v>20</v>
      </c>
      <c r="B166" s="7" t="s">
        <v>187</v>
      </c>
      <c r="C166" s="7" t="s">
        <v>481</v>
      </c>
      <c r="D166" s="7" t="s">
        <v>241</v>
      </c>
      <c r="E166" s="17"/>
      <c r="F166" s="17" t="s">
        <v>230</v>
      </c>
      <c r="G166" s="13">
        <v>11520971</v>
      </c>
      <c r="H166" s="13">
        <v>28522</v>
      </c>
      <c r="I166" s="13">
        <v>282874</v>
      </c>
      <c r="J166" s="13">
        <v>5936812</v>
      </c>
      <c r="K166" s="13">
        <v>1218701</v>
      </c>
      <c r="L166" s="13">
        <v>1864193</v>
      </c>
      <c r="M166" s="13">
        <v>1019064</v>
      </c>
      <c r="N166" s="13">
        <v>11048310</v>
      </c>
      <c r="O166" s="19">
        <v>8.5400000000000004E-2</v>
      </c>
      <c r="P166" s="13">
        <f>2123+5900+6135+2240</f>
        <v>16398</v>
      </c>
      <c r="Q166" s="21">
        <f>846721/10996383</f>
        <v>7.6999955348954291E-2</v>
      </c>
      <c r="R166" s="13">
        <v>847023</v>
      </c>
      <c r="S166" s="13">
        <v>0</v>
      </c>
      <c r="T166" s="13">
        <v>362858</v>
      </c>
      <c r="U166" s="13">
        <v>27908</v>
      </c>
      <c r="V166" s="13">
        <v>97487</v>
      </c>
      <c r="W166" s="13">
        <f>36700+7951</f>
        <v>44651</v>
      </c>
      <c r="X166" s="13">
        <v>2015</v>
      </c>
      <c r="Y166" s="13">
        <v>16152</v>
      </c>
      <c r="Z166" s="13">
        <v>2527</v>
      </c>
      <c r="AA166" s="13">
        <f>13690+33090+17808</f>
        <v>64588</v>
      </c>
      <c r="AB166" s="13">
        <v>10997</v>
      </c>
      <c r="AC166" s="13">
        <v>1717</v>
      </c>
      <c r="AD166" s="13">
        <v>40887</v>
      </c>
      <c r="AE166" s="13">
        <v>37300</v>
      </c>
      <c r="AF166" s="13">
        <v>737005</v>
      </c>
      <c r="AG166" s="19">
        <f t="shared" si="20"/>
        <v>5.0610240093350793E-2</v>
      </c>
      <c r="AH166" s="13">
        <v>64090</v>
      </c>
      <c r="AI166" s="13">
        <v>124333</v>
      </c>
      <c r="AJ166" s="13">
        <v>0</v>
      </c>
      <c r="AK166" s="13">
        <v>82635</v>
      </c>
      <c r="AL166" s="13">
        <v>0</v>
      </c>
      <c r="AM166" s="13">
        <v>0</v>
      </c>
      <c r="AN166" s="13">
        <v>0</v>
      </c>
      <c r="AO166" s="13">
        <v>3778</v>
      </c>
      <c r="AP166" s="13">
        <v>2025</v>
      </c>
      <c r="AQ166" s="13">
        <v>-158</v>
      </c>
      <c r="AR166" s="13">
        <v>-721</v>
      </c>
      <c r="AS166" s="13">
        <v>-711</v>
      </c>
      <c r="AT166" s="13"/>
      <c r="AU166" s="13">
        <f t="shared" si="18"/>
        <v>4213</v>
      </c>
      <c r="AV166" s="13">
        <v>3643</v>
      </c>
      <c r="AW166" s="13">
        <v>1615</v>
      </c>
      <c r="AX166" s="13">
        <v>-166</v>
      </c>
      <c r="AY166" s="13">
        <v>-635</v>
      </c>
      <c r="AZ166" s="13">
        <v>-679</v>
      </c>
      <c r="BA166" s="13"/>
      <c r="BB166" s="13">
        <f t="shared" si="19"/>
        <v>3778</v>
      </c>
      <c r="BC166" s="13">
        <v>6</v>
      </c>
    </row>
    <row r="167" spans="1:55" x14ac:dyDescent="0.25">
      <c r="A167" s="7">
        <v>20</v>
      </c>
      <c r="B167" s="7" t="s">
        <v>274</v>
      </c>
      <c r="C167" s="7" t="s">
        <v>18</v>
      </c>
      <c r="D167" s="7" t="s">
        <v>327</v>
      </c>
      <c r="E167" s="17"/>
      <c r="F167" s="17" t="s">
        <v>320</v>
      </c>
      <c r="G167" s="13">
        <v>7676173</v>
      </c>
      <c r="H167" s="13">
        <v>27673</v>
      </c>
      <c r="I167" s="13">
        <v>158851</v>
      </c>
      <c r="J167" s="13">
        <v>2551538</v>
      </c>
      <c r="K167" s="13">
        <v>1661839</v>
      </c>
      <c r="L167" s="13">
        <v>887528</v>
      </c>
      <c r="M167" s="13">
        <v>1433517</v>
      </c>
      <c r="N167" s="13">
        <v>7083689</v>
      </c>
      <c r="O167" s="19">
        <v>0.11799999999999999</v>
      </c>
      <c r="P167" s="13">
        <v>0</v>
      </c>
      <c r="Q167" s="21">
        <f>531277/7083689</f>
        <v>7.5000045880049229E-2</v>
      </c>
      <c r="R167" s="13">
        <v>531277</v>
      </c>
      <c r="S167" s="13">
        <v>0</v>
      </c>
      <c r="T167" s="13">
        <v>211011</v>
      </c>
      <c r="U167" s="13">
        <v>16636</v>
      </c>
      <c r="V167" s="13">
        <v>50299</v>
      </c>
      <c r="W167" s="13">
        <v>22475</v>
      </c>
      <c r="X167" s="13">
        <v>0</v>
      </c>
      <c r="Y167" s="13">
        <v>9782</v>
      </c>
      <c r="Z167" s="13">
        <v>2789</v>
      </c>
      <c r="AA167" s="13">
        <f>12111+23853+8475</f>
        <v>44439</v>
      </c>
      <c r="AB167" s="13">
        <v>3081</v>
      </c>
      <c r="AC167" s="13">
        <v>16513</v>
      </c>
      <c r="AD167" s="13">
        <v>2311</v>
      </c>
      <c r="AE167" s="13">
        <v>440555</v>
      </c>
      <c r="AF167" s="13">
        <v>440555</v>
      </c>
      <c r="AG167" s="19">
        <f t="shared" si="20"/>
        <v>1</v>
      </c>
      <c r="AH167" s="13">
        <v>0</v>
      </c>
      <c r="AI167" s="13">
        <v>124333</v>
      </c>
      <c r="AJ167" s="13">
        <v>0</v>
      </c>
      <c r="AK167" s="13">
        <v>3943</v>
      </c>
      <c r="AL167" s="13">
        <v>0</v>
      </c>
      <c r="AM167" s="13">
        <v>0</v>
      </c>
      <c r="AN167" s="13">
        <v>0</v>
      </c>
      <c r="AO167" s="13">
        <v>2161</v>
      </c>
      <c r="AP167" s="13">
        <v>1762</v>
      </c>
      <c r="AQ167" s="13">
        <v>-142</v>
      </c>
      <c r="AR167" s="13">
        <v>-390</v>
      </c>
      <c r="AS167" s="13">
        <v>-299</v>
      </c>
      <c r="AT167" s="13">
        <v>5</v>
      </c>
      <c r="AU167" s="13">
        <f t="shared" si="18"/>
        <v>3097</v>
      </c>
      <c r="AV167" s="13">
        <v>1770</v>
      </c>
      <c r="AW167" s="13">
        <v>1009</v>
      </c>
      <c r="AX167" s="13">
        <v>-127</v>
      </c>
      <c r="AY167" s="13">
        <v>-229</v>
      </c>
      <c r="AZ167" s="13">
        <v>-263</v>
      </c>
      <c r="BA167" s="13">
        <v>1</v>
      </c>
      <c r="BB167" s="13">
        <f t="shared" si="19"/>
        <v>2161</v>
      </c>
      <c r="BC167" s="13">
        <v>31</v>
      </c>
    </row>
    <row r="168" spans="1:55" x14ac:dyDescent="0.25">
      <c r="A168" s="7">
        <v>20</v>
      </c>
      <c r="B168" s="7" t="s">
        <v>453</v>
      </c>
      <c r="C168" s="7" t="s">
        <v>349</v>
      </c>
      <c r="D168" s="7" t="s">
        <v>347</v>
      </c>
      <c r="E168" s="17" t="s">
        <v>513</v>
      </c>
      <c r="F168" s="17" t="s">
        <v>348</v>
      </c>
      <c r="G168" s="13">
        <v>18669693</v>
      </c>
      <c r="H168" s="13">
        <v>60105</v>
      </c>
      <c r="I168" s="13">
        <v>574884</v>
      </c>
      <c r="J168" s="13">
        <v>10958257</v>
      </c>
      <c r="K168" s="13">
        <v>1456174</v>
      </c>
      <c r="L168" s="13">
        <v>3076742</v>
      </c>
      <c r="M168" s="13">
        <v>1344114</v>
      </c>
      <c r="N168" s="13">
        <v>17666429</v>
      </c>
      <c r="O168" s="19">
        <v>0.1237</v>
      </c>
      <c r="P168" s="13">
        <v>148419</v>
      </c>
      <c r="Q168" s="21">
        <f>831142/17518010</f>
        <v>4.74450008876579E-2</v>
      </c>
      <c r="R168" s="13">
        <v>831142</v>
      </c>
      <c r="S168" s="13">
        <v>0</v>
      </c>
      <c r="T168" s="13">
        <v>417337</v>
      </c>
      <c r="U168" s="13">
        <v>33207</v>
      </c>
      <c r="V168" s="13">
        <v>58297</v>
      </c>
      <c r="W168" s="13">
        <f>51571+2676</f>
        <v>54247</v>
      </c>
      <c r="X168" s="13">
        <v>35451</v>
      </c>
      <c r="Y168" s="13">
        <v>16973</v>
      </c>
      <c r="Z168" s="13">
        <v>17430</v>
      </c>
      <c r="AA168" s="13">
        <f>8062+35395+29754</f>
        <v>73211</v>
      </c>
      <c r="AB168" s="13">
        <v>7340</v>
      </c>
      <c r="AC168" s="13">
        <v>537</v>
      </c>
      <c r="AD168" s="13">
        <v>12691</v>
      </c>
      <c r="AE168" s="13">
        <v>119182</v>
      </c>
      <c r="AF168" s="13">
        <v>774583</v>
      </c>
      <c r="AG168" s="19">
        <f t="shared" si="20"/>
        <v>0.15386601564971086</v>
      </c>
      <c r="AH168" s="13">
        <v>120253</v>
      </c>
      <c r="AI168" s="13">
        <v>124333</v>
      </c>
      <c r="AJ168" s="13">
        <v>0</v>
      </c>
      <c r="AK168" s="13">
        <v>114578</v>
      </c>
      <c r="AL168" s="13">
        <v>0</v>
      </c>
      <c r="AM168" s="13">
        <v>0</v>
      </c>
      <c r="AN168" s="13">
        <v>0</v>
      </c>
      <c r="AO168" s="13">
        <v>2937</v>
      </c>
      <c r="AP168" s="13">
        <v>2145</v>
      </c>
      <c r="AQ168" s="13">
        <v>-311</v>
      </c>
      <c r="AR168" s="13">
        <v>-705</v>
      </c>
      <c r="AS168" s="13">
        <v>-723</v>
      </c>
      <c r="AT168" s="13"/>
      <c r="AU168" s="13">
        <f t="shared" si="18"/>
        <v>3343</v>
      </c>
      <c r="AV168" s="13">
        <v>3040</v>
      </c>
      <c r="AW168" s="13">
        <v>1408</v>
      </c>
      <c r="AX168" s="13">
        <v>-282</v>
      </c>
      <c r="AY168" s="13">
        <v>-540</v>
      </c>
      <c r="AZ168" s="13">
        <v>-689</v>
      </c>
      <c r="BA168" s="13"/>
      <c r="BB168" s="13">
        <f t="shared" si="19"/>
        <v>2937</v>
      </c>
      <c r="BC168" s="13">
        <v>3</v>
      </c>
    </row>
    <row r="169" spans="1:55" x14ac:dyDescent="0.25">
      <c r="A169" s="7">
        <v>20</v>
      </c>
      <c r="B169" s="7" t="s">
        <v>502</v>
      </c>
      <c r="C169" s="7" t="s">
        <v>517</v>
      </c>
      <c r="D169" s="7" t="s">
        <v>241</v>
      </c>
      <c r="E169" s="17"/>
      <c r="F169" s="17" t="s">
        <v>230</v>
      </c>
      <c r="G169" s="13">
        <v>3783445.51</v>
      </c>
      <c r="H169" s="13">
        <v>12822</v>
      </c>
      <c r="I169" s="13">
        <v>81426.94</v>
      </c>
      <c r="J169" s="13">
        <v>1609732</v>
      </c>
      <c r="K169" s="13">
        <v>667828</v>
      </c>
      <c r="L169" s="13">
        <v>707818</v>
      </c>
      <c r="M169" s="13">
        <v>249427</v>
      </c>
      <c r="N169" s="13">
        <v>3606726</v>
      </c>
      <c r="O169" s="19">
        <v>8.9300000000000004E-2</v>
      </c>
      <c r="P169" s="13">
        <v>0</v>
      </c>
      <c r="Q169" s="21">
        <f>360672.65/3606726.46</f>
        <v>0.10000000110903892</v>
      </c>
      <c r="R169" s="13">
        <v>360415</v>
      </c>
      <c r="S169" s="13">
        <v>0</v>
      </c>
      <c r="T169" s="13">
        <v>92712</v>
      </c>
      <c r="U169" s="13">
        <v>7410.84</v>
      </c>
      <c r="V169" s="13">
        <v>12707</v>
      </c>
      <c r="W169" s="13">
        <v>16800</v>
      </c>
      <c r="X169" s="13">
        <v>1794</v>
      </c>
      <c r="Y169" s="13">
        <v>11649</v>
      </c>
      <c r="Z169" s="13">
        <v>1213</v>
      </c>
      <c r="AA169" s="13">
        <f>5413.51+9380+5984.85+6903.22</f>
        <v>27681.58</v>
      </c>
      <c r="AB169" s="13">
        <v>1100</v>
      </c>
      <c r="AC169" s="13">
        <v>18515</v>
      </c>
      <c r="AD169" s="13">
        <v>2007</v>
      </c>
      <c r="AE169" s="13">
        <v>125537</v>
      </c>
      <c r="AF169" s="13">
        <v>246596</v>
      </c>
      <c r="AG169" s="19">
        <f t="shared" si="20"/>
        <v>0.50907962821781372</v>
      </c>
      <c r="AH169" s="13">
        <v>5452</v>
      </c>
      <c r="AI169" s="13">
        <v>124333</v>
      </c>
      <c r="AJ169" s="13">
        <v>0</v>
      </c>
      <c r="AK169" s="13">
        <v>14860</v>
      </c>
      <c r="AL169" s="13">
        <v>0</v>
      </c>
      <c r="AM169" s="13">
        <v>0</v>
      </c>
      <c r="AN169" s="13">
        <v>0</v>
      </c>
      <c r="AO169" s="13">
        <v>916</v>
      </c>
      <c r="AP169" s="13">
        <v>481</v>
      </c>
      <c r="AQ169" s="13">
        <v>-61</v>
      </c>
      <c r="AR169" s="13">
        <v>-104</v>
      </c>
      <c r="AS169" s="13">
        <v>-156</v>
      </c>
      <c r="AT169" s="13">
        <f>4-1</f>
        <v>3</v>
      </c>
      <c r="AU169" s="13">
        <f t="shared" si="18"/>
        <v>1079</v>
      </c>
      <c r="AV169" s="13">
        <v>854</v>
      </c>
      <c r="AW169" s="13">
        <v>338</v>
      </c>
      <c r="AX169" s="13">
        <v>-52</v>
      </c>
      <c r="AY169" s="13">
        <v>-84</v>
      </c>
      <c r="AZ169" s="13">
        <v>-141</v>
      </c>
      <c r="BA169" s="13">
        <v>1</v>
      </c>
      <c r="BB169" s="13">
        <f t="shared" si="19"/>
        <v>916</v>
      </c>
      <c r="BC169" s="13">
        <v>19</v>
      </c>
    </row>
    <row r="170" spans="1:55" x14ac:dyDescent="0.25">
      <c r="A170" s="7">
        <v>21</v>
      </c>
      <c r="B170" s="7" t="s">
        <v>43</v>
      </c>
      <c r="C170" s="7" t="s">
        <v>32</v>
      </c>
      <c r="D170" s="7" t="s">
        <v>176</v>
      </c>
      <c r="E170" s="17" t="s">
        <v>449</v>
      </c>
      <c r="F170" s="17" t="s">
        <v>183</v>
      </c>
      <c r="G170" s="13">
        <v>17748110</v>
      </c>
      <c r="H170" s="13">
        <v>47173</v>
      </c>
      <c r="I170" s="13">
        <v>431009</v>
      </c>
      <c r="J170" s="13">
        <v>10120673</v>
      </c>
      <c r="K170" s="13">
        <v>645788</v>
      </c>
      <c r="L170" s="13">
        <v>3155009</v>
      </c>
      <c r="M170" s="13">
        <v>1562824</v>
      </c>
      <c r="N170" s="13">
        <v>17034208</v>
      </c>
      <c r="O170" s="19">
        <v>5.8999999999999997E-2</v>
      </c>
      <c r="P170" s="13">
        <v>0</v>
      </c>
      <c r="Q170" s="21">
        <f>1277566/17034208</f>
        <v>7.500002348216013E-2</v>
      </c>
      <c r="R170" s="13">
        <v>1269710</v>
      </c>
      <c r="S170" s="13">
        <v>0</v>
      </c>
      <c r="T170" s="13">
        <v>565055</v>
      </c>
      <c r="U170" s="13">
        <v>41611</v>
      </c>
      <c r="V170" s="13">
        <v>122670</v>
      </c>
      <c r="W170" s="13">
        <f>40854+13344</f>
        <v>54198</v>
      </c>
      <c r="X170" s="13">
        <v>2259</v>
      </c>
      <c r="Y170" s="13">
        <v>34851</v>
      </c>
      <c r="Z170" s="13">
        <v>1000</v>
      </c>
      <c r="AA170" s="13">
        <f>27606+29701+38175</f>
        <v>95482</v>
      </c>
      <c r="AB170" s="13">
        <v>18951</v>
      </c>
      <c r="AC170" s="13">
        <v>15272</v>
      </c>
      <c r="AD170" s="13">
        <v>78921</v>
      </c>
      <c r="AE170" s="13">
        <v>131</v>
      </c>
      <c r="AF170" s="13">
        <v>1101857</v>
      </c>
      <c r="AG170" s="19">
        <f t="shared" si="20"/>
        <v>1.1889020081553233E-4</v>
      </c>
      <c r="AH170" s="13">
        <v>86221</v>
      </c>
      <c r="AI170" s="13">
        <v>124333</v>
      </c>
      <c r="AJ170" s="13">
        <v>0</v>
      </c>
      <c r="AK170" s="13">
        <v>181319</v>
      </c>
      <c r="AL170" s="13">
        <v>0</v>
      </c>
      <c r="AM170" s="13">
        <v>0</v>
      </c>
      <c r="AN170" s="13">
        <v>0</v>
      </c>
      <c r="AO170" s="13">
        <v>6102</v>
      </c>
      <c r="AP170" s="13">
        <v>3322</v>
      </c>
      <c r="AQ170" s="13">
        <v>-220</v>
      </c>
      <c r="AR170" s="13">
        <v>-1164</v>
      </c>
      <c r="AS170" s="13">
        <v>-888</v>
      </c>
      <c r="AT170" s="13">
        <v>0</v>
      </c>
      <c r="AU170" s="13">
        <f t="shared" si="18"/>
        <v>7152</v>
      </c>
      <c r="AV170" s="13">
        <v>5950</v>
      </c>
      <c r="AW170" s="13">
        <v>2345</v>
      </c>
      <c r="AX170" s="13">
        <v>-277</v>
      </c>
      <c r="AY170" s="13">
        <v>-1091</v>
      </c>
      <c r="AZ170" s="13">
        <v>-824</v>
      </c>
      <c r="BA170" s="13">
        <v>-1</v>
      </c>
      <c r="BB170" s="13">
        <f t="shared" si="19"/>
        <v>6102</v>
      </c>
      <c r="BC170" s="13">
        <v>12</v>
      </c>
    </row>
    <row r="171" spans="1:55" x14ac:dyDescent="0.25">
      <c r="A171" s="7">
        <v>21</v>
      </c>
      <c r="B171" s="7" t="s">
        <v>54</v>
      </c>
      <c r="C171" s="7" t="s">
        <v>76</v>
      </c>
      <c r="D171" s="7" t="s">
        <v>176</v>
      </c>
      <c r="E171" s="17" t="s">
        <v>331</v>
      </c>
      <c r="F171" s="17" t="s">
        <v>183</v>
      </c>
      <c r="G171" s="13">
        <v>57737598</v>
      </c>
      <c r="H171" s="13">
        <v>243086</v>
      </c>
      <c r="I171" s="13">
        <v>1987928</v>
      </c>
      <c r="J171" s="13">
        <v>30432499</v>
      </c>
      <c r="K171" s="13">
        <v>5784676</v>
      </c>
      <c r="L171" s="13">
        <v>11522777</v>
      </c>
      <c r="M171" s="13">
        <v>5226411</v>
      </c>
      <c r="N171" s="13">
        <v>55264711</v>
      </c>
      <c r="O171" s="19">
        <v>0.14000000000000001</v>
      </c>
      <c r="P171" s="13">
        <f>16926+5369+1662</f>
        <v>23957</v>
      </c>
      <c r="Q171" s="21">
        <f>1794998/55230707</f>
        <v>3.2500000407382074E-2</v>
      </c>
      <c r="R171" s="13">
        <v>1795084</v>
      </c>
      <c r="S171" s="13">
        <v>0</v>
      </c>
      <c r="T171" s="13">
        <v>961674</v>
      </c>
      <c r="U171" s="13">
        <v>73083</v>
      </c>
      <c r="V171" s="13">
        <v>315915</v>
      </c>
      <c r="W171" s="13">
        <v>130705</v>
      </c>
      <c r="X171" s="13">
        <v>1893</v>
      </c>
      <c r="Y171" s="13">
        <v>16966</v>
      </c>
      <c r="Z171" s="13">
        <v>12190</v>
      </c>
      <c r="AA171" s="13">
        <f>35341+77435+49965</f>
        <v>162741</v>
      </c>
      <c r="AB171" s="13">
        <v>21253</v>
      </c>
      <c r="AC171" s="13">
        <v>0</v>
      </c>
      <c r="AD171" s="13">
        <v>80689</v>
      </c>
      <c r="AE171" s="13">
        <v>0</v>
      </c>
      <c r="AF171" s="13">
        <v>1905447</v>
      </c>
      <c r="AG171" s="19">
        <f t="shared" si="20"/>
        <v>0</v>
      </c>
      <c r="AH171" s="13">
        <v>284830</v>
      </c>
      <c r="AI171" s="13">
        <v>124333</v>
      </c>
      <c r="AJ171" s="13">
        <v>0</v>
      </c>
      <c r="AK171" s="13">
        <v>322148</v>
      </c>
      <c r="AL171" s="13">
        <v>0</v>
      </c>
      <c r="AM171" s="13">
        <v>0</v>
      </c>
      <c r="AN171" s="13">
        <v>0</v>
      </c>
      <c r="AO171" s="13">
        <v>16519</v>
      </c>
      <c r="AP171" s="13">
        <v>9308</v>
      </c>
      <c r="AQ171" s="13">
        <v>-612</v>
      </c>
      <c r="AR171" s="13">
        <v>-5946</v>
      </c>
      <c r="AS171" s="13">
        <v>-3429</v>
      </c>
      <c r="AT171" s="13">
        <f>7+42-7</f>
        <v>42</v>
      </c>
      <c r="AU171" s="13">
        <f t="shared" si="18"/>
        <v>15882</v>
      </c>
      <c r="AV171" s="13">
        <v>16938</v>
      </c>
      <c r="AW171" s="13">
        <v>7337</v>
      </c>
      <c r="AX171" s="13">
        <v>-540</v>
      </c>
      <c r="AY171" s="13">
        <v>-4297</v>
      </c>
      <c r="AZ171" s="13">
        <v>-2944</v>
      </c>
      <c r="BA171" s="13">
        <f>3+33-11</f>
        <v>25</v>
      </c>
      <c r="BB171" s="13">
        <f t="shared" si="19"/>
        <v>16519</v>
      </c>
      <c r="BC171" s="13">
        <v>31</v>
      </c>
    </row>
    <row r="172" spans="1:55" x14ac:dyDescent="0.25">
      <c r="A172" s="7">
        <v>21</v>
      </c>
      <c r="B172" s="7" t="s">
        <v>66</v>
      </c>
      <c r="C172" s="7" t="s">
        <v>430</v>
      </c>
      <c r="D172" s="7" t="s">
        <v>176</v>
      </c>
      <c r="E172" s="17" t="s">
        <v>449</v>
      </c>
      <c r="F172" s="17" t="s">
        <v>183</v>
      </c>
      <c r="G172" s="13">
        <v>27986328</v>
      </c>
      <c r="H172" s="13">
        <v>48772</v>
      </c>
      <c r="I172" s="13">
        <v>1413216</v>
      </c>
      <c r="J172" s="13">
        <v>15593829</v>
      </c>
      <c r="K172" s="13">
        <v>1204605</v>
      </c>
      <c r="L172" s="13">
        <v>4947891</v>
      </c>
      <c r="M172" s="13">
        <v>2525023</v>
      </c>
      <c r="N172" s="13">
        <v>26296690</v>
      </c>
      <c r="O172" s="19">
        <v>0.04</v>
      </c>
      <c r="P172" s="13">
        <v>0</v>
      </c>
      <c r="Q172" s="21">
        <f>1446318/26296690</f>
        <v>5.5000001901379984E-2</v>
      </c>
      <c r="R172" s="13">
        <v>1444261</v>
      </c>
      <c r="S172" s="13">
        <v>0</v>
      </c>
      <c r="T172" s="13">
        <v>644395</v>
      </c>
      <c r="U172" s="13">
        <v>52285</v>
      </c>
      <c r="V172" s="13">
        <v>175147</v>
      </c>
      <c r="W172" s="13">
        <f>109216+2361</f>
        <v>111577</v>
      </c>
      <c r="X172" s="13">
        <v>0</v>
      </c>
      <c r="Y172" s="13">
        <v>40113</v>
      </c>
      <c r="Z172" s="13">
        <v>0</v>
      </c>
      <c r="AA172" s="13">
        <f>28863+47993+57797</f>
        <v>134653</v>
      </c>
      <c r="AB172" s="13">
        <v>17299</v>
      </c>
      <c r="AC172" s="13">
        <v>0</v>
      </c>
      <c r="AD172" s="13">
        <v>23150</v>
      </c>
      <c r="AE172" s="13">
        <v>0</v>
      </c>
      <c r="AF172" s="13">
        <v>1290139</v>
      </c>
      <c r="AG172" s="19">
        <f t="shared" si="20"/>
        <v>0</v>
      </c>
      <c r="AH172" s="13">
        <v>132484</v>
      </c>
      <c r="AI172" s="13">
        <v>124333</v>
      </c>
      <c r="AJ172" s="13">
        <v>0</v>
      </c>
      <c r="AK172" s="13">
        <v>213260</v>
      </c>
      <c r="AL172" s="13">
        <v>0</v>
      </c>
      <c r="AM172" s="13">
        <v>0</v>
      </c>
      <c r="AN172" s="13">
        <v>0</v>
      </c>
      <c r="AO172" s="13">
        <v>8767</v>
      </c>
      <c r="AP172" s="13">
        <v>4847</v>
      </c>
      <c r="AQ172" s="13">
        <v>-295</v>
      </c>
      <c r="AR172" s="13">
        <v>-2167</v>
      </c>
      <c r="AS172" s="13">
        <v>-1149</v>
      </c>
      <c r="AT172" s="13">
        <f>5+19-3</f>
        <v>21</v>
      </c>
      <c r="AU172" s="13">
        <f t="shared" ref="AU172:AU203" si="21">SUM(AO172:AT172)</f>
        <v>10024</v>
      </c>
      <c r="AV172" s="13">
        <v>7904</v>
      </c>
      <c r="AW172" s="13">
        <v>3723</v>
      </c>
      <c r="AX172" s="13">
        <v>-277</v>
      </c>
      <c r="AY172" s="13">
        <v>-1609</v>
      </c>
      <c r="AZ172" s="13">
        <v>-975</v>
      </c>
      <c r="BA172" s="13">
        <v>1</v>
      </c>
      <c r="BB172" s="13">
        <f t="shared" si="19"/>
        <v>8767</v>
      </c>
      <c r="BC172" s="13">
        <v>13</v>
      </c>
    </row>
    <row r="173" spans="1:55" x14ac:dyDescent="0.25">
      <c r="A173" s="7">
        <v>21</v>
      </c>
      <c r="B173" s="7" t="s">
        <v>118</v>
      </c>
      <c r="C173" s="7" t="s">
        <v>225</v>
      </c>
      <c r="D173" s="7" t="s">
        <v>166</v>
      </c>
      <c r="E173" s="17" t="s">
        <v>290</v>
      </c>
      <c r="F173" s="17" t="s">
        <v>168</v>
      </c>
      <c r="G173" s="13">
        <v>19121660</v>
      </c>
      <c r="H173" s="13">
        <v>9202</v>
      </c>
      <c r="I173" s="13">
        <v>876624</v>
      </c>
      <c r="J173" s="13">
        <v>11976004</v>
      </c>
      <c r="K173" s="13">
        <v>1203412</v>
      </c>
      <c r="L173" s="13">
        <v>1067266</v>
      </c>
      <c r="M173" s="13">
        <v>369372</v>
      </c>
      <c r="N173" s="13">
        <v>15221132</v>
      </c>
      <c r="O173" s="19">
        <v>0.2</v>
      </c>
      <c r="P173" s="13">
        <v>0</v>
      </c>
      <c r="Q173" s="21">
        <f>523757/15139873</f>
        <v>3.4594543824773165E-2</v>
      </c>
      <c r="R173" s="13">
        <v>523819</v>
      </c>
      <c r="S173" s="13">
        <v>0</v>
      </c>
      <c r="T173" s="13">
        <v>216750</v>
      </c>
      <c r="U173" s="13">
        <v>17060</v>
      </c>
      <c r="V173" s="13">
        <v>17570</v>
      </c>
      <c r="W173" s="13">
        <f>48445+3281</f>
        <v>51726</v>
      </c>
      <c r="X173" s="13">
        <v>87</v>
      </c>
      <c r="Y173" s="13">
        <v>18441</v>
      </c>
      <c r="Z173" s="13">
        <v>2180</v>
      </c>
      <c r="AA173" s="13">
        <f>8708+19223+23893</f>
        <v>51824</v>
      </c>
      <c r="AB173" s="13">
        <v>10185</v>
      </c>
      <c r="AC173" s="13">
        <v>982</v>
      </c>
      <c r="AD173" s="13">
        <v>62949</v>
      </c>
      <c r="AE173" s="13">
        <v>0</v>
      </c>
      <c r="AF173" s="13">
        <v>501018</v>
      </c>
      <c r="AG173" s="19">
        <f t="shared" si="20"/>
        <v>0</v>
      </c>
      <c r="AH173" s="13">
        <v>73009</v>
      </c>
      <c r="AI173" s="13">
        <v>124333</v>
      </c>
      <c r="AJ173" s="13">
        <v>0</v>
      </c>
      <c r="AK173" s="13">
        <v>64393</v>
      </c>
      <c r="AL173" s="13">
        <v>0</v>
      </c>
      <c r="AM173" s="13">
        <v>0</v>
      </c>
      <c r="AN173" s="13">
        <v>0</v>
      </c>
      <c r="AO173" s="13">
        <v>1889</v>
      </c>
      <c r="AP173" s="13">
        <v>1858</v>
      </c>
      <c r="AQ173" s="13">
        <v>-88</v>
      </c>
      <c r="AR173" s="13">
        <v>-1013</v>
      </c>
      <c r="AS173" s="13">
        <v>-252</v>
      </c>
      <c r="AT173" s="13">
        <v>0</v>
      </c>
      <c r="AU173" s="13">
        <f t="shared" si="21"/>
        <v>2394</v>
      </c>
      <c r="AV173" s="13">
        <v>1687</v>
      </c>
      <c r="AW173" s="13">
        <v>1472</v>
      </c>
      <c r="AX173" s="13">
        <v>-108</v>
      </c>
      <c r="AY173" s="13">
        <v>-927</v>
      </c>
      <c r="AZ173" s="13">
        <v>-235</v>
      </c>
      <c r="BA173" s="13">
        <v>0</v>
      </c>
      <c r="BB173" s="13">
        <f t="shared" si="19"/>
        <v>1889</v>
      </c>
      <c r="BC173" s="13">
        <v>2</v>
      </c>
    </row>
    <row r="174" spans="1:55" x14ac:dyDescent="0.25">
      <c r="A174" s="7">
        <v>21</v>
      </c>
      <c r="B174" s="7" t="s">
        <v>194</v>
      </c>
      <c r="C174" s="7" t="s">
        <v>470</v>
      </c>
      <c r="D174" s="7" t="s">
        <v>166</v>
      </c>
      <c r="E174" s="17" t="s">
        <v>331</v>
      </c>
      <c r="F174" s="17" t="s">
        <v>168</v>
      </c>
      <c r="G174" s="13">
        <v>3000591</v>
      </c>
      <c r="H174" s="13">
        <v>3940</v>
      </c>
      <c r="I174" s="13">
        <v>75167</v>
      </c>
      <c r="J174" s="13">
        <v>1591205</v>
      </c>
      <c r="K174" s="13">
        <v>306716</v>
      </c>
      <c r="L174" s="13">
        <v>526893</v>
      </c>
      <c r="M174" s="13">
        <v>85509</v>
      </c>
      <c r="N174" s="13">
        <v>2798387</v>
      </c>
      <c r="O174" s="19">
        <v>0.15</v>
      </c>
      <c r="P174" s="13">
        <v>58003</v>
      </c>
      <c r="Q174" s="21">
        <f>272725/2727249</f>
        <v>0.10000003666698568</v>
      </c>
      <c r="R174" s="13">
        <v>274735</v>
      </c>
      <c r="S174" s="13">
        <v>0</v>
      </c>
      <c r="T174" s="13">
        <v>83169</v>
      </c>
      <c r="U174" s="13">
        <v>3873</v>
      </c>
      <c r="V174" s="13">
        <v>296</v>
      </c>
      <c r="W174" s="13">
        <f>9810+2238</f>
        <v>12048</v>
      </c>
      <c r="X174" s="13">
        <v>0</v>
      </c>
      <c r="Y174" s="13">
        <v>6647</v>
      </c>
      <c r="Z174" s="13">
        <v>0</v>
      </c>
      <c r="AA174" s="13">
        <f>13255+9389+13959</f>
        <v>36603</v>
      </c>
      <c r="AB174" s="13">
        <v>0</v>
      </c>
      <c r="AC174" s="13">
        <v>498</v>
      </c>
      <c r="AD174" s="13">
        <v>4591</v>
      </c>
      <c r="AE174" s="13">
        <v>9810</v>
      </c>
      <c r="AF174" s="13">
        <v>167845</v>
      </c>
      <c r="AG174" s="19">
        <f t="shared" si="20"/>
        <v>5.8446781256516429E-2</v>
      </c>
      <c r="AH174" s="13">
        <v>5746</v>
      </c>
      <c r="AI174" s="13">
        <v>124333</v>
      </c>
      <c r="AJ174" s="13">
        <v>0</v>
      </c>
      <c r="AK174" s="13">
        <v>5751</v>
      </c>
      <c r="AL174" s="13">
        <v>0</v>
      </c>
      <c r="AM174" s="13">
        <v>0</v>
      </c>
      <c r="AN174" s="13">
        <v>0</v>
      </c>
      <c r="AO174" s="13">
        <v>624</v>
      </c>
      <c r="AP174" s="13">
        <v>371</v>
      </c>
      <c r="AQ174" s="13">
        <v>-37</v>
      </c>
      <c r="AR174" s="13">
        <v>-115</v>
      </c>
      <c r="AS174" s="13">
        <v>-79</v>
      </c>
      <c r="AT174" s="13"/>
      <c r="AU174" s="13">
        <f t="shared" si="21"/>
        <v>764</v>
      </c>
      <c r="AV174" s="13">
        <v>590</v>
      </c>
      <c r="AW174" s="13">
        <v>273</v>
      </c>
      <c r="AX174" s="13">
        <v>-32</v>
      </c>
      <c r="AY174" s="13">
        <v>-122</v>
      </c>
      <c r="AZ174" s="13">
        <v>-85</v>
      </c>
      <c r="BA174" s="13"/>
      <c r="BB174" s="13">
        <f t="shared" si="19"/>
        <v>624</v>
      </c>
      <c r="BC174" s="13">
        <v>0</v>
      </c>
    </row>
    <row r="175" spans="1:55" x14ac:dyDescent="0.25">
      <c r="A175" s="7">
        <v>21</v>
      </c>
      <c r="B175" s="7" t="s">
        <v>200</v>
      </c>
      <c r="C175" s="7" t="s">
        <v>169</v>
      </c>
      <c r="D175" s="7" t="s">
        <v>166</v>
      </c>
      <c r="E175" s="17" t="s">
        <v>449</v>
      </c>
      <c r="F175" s="17" t="s">
        <v>168</v>
      </c>
      <c r="G175" s="13">
        <v>6571456</v>
      </c>
      <c r="H175" s="13">
        <v>14287</v>
      </c>
      <c r="I175" s="13">
        <v>219480</v>
      </c>
      <c r="J175" s="13">
        <v>3623105</v>
      </c>
      <c r="K175" s="13">
        <v>120149</v>
      </c>
      <c r="L175" s="13">
        <v>109298</v>
      </c>
      <c r="M175" s="13">
        <v>670066</v>
      </c>
      <c r="N175" s="13">
        <v>5024211</v>
      </c>
      <c r="O175" s="19">
        <v>0.26</v>
      </c>
      <c r="P175" s="13">
        <v>0</v>
      </c>
      <c r="Q175" s="21">
        <f>479639/5003483</f>
        <v>9.586102321123105E-2</v>
      </c>
      <c r="R175" s="13">
        <v>479524</v>
      </c>
      <c r="S175" s="13">
        <v>0</v>
      </c>
      <c r="T175" s="13">
        <v>131550</v>
      </c>
      <c r="U175" s="13">
        <v>13397</v>
      </c>
      <c r="V175" s="13">
        <v>1670</v>
      </c>
      <c r="W175" s="13">
        <v>30948</v>
      </c>
      <c r="X175" s="13">
        <v>648</v>
      </c>
      <c r="Y175" s="13">
        <v>8113</v>
      </c>
      <c r="Z175" s="13">
        <v>0</v>
      </c>
      <c r="AA175" s="13">
        <f>7278+9004+17789</f>
        <v>34071</v>
      </c>
      <c r="AB175" s="13">
        <v>5144</v>
      </c>
      <c r="AC175" s="13">
        <v>5170</v>
      </c>
      <c r="AD175" s="13">
        <v>81954</v>
      </c>
      <c r="AE175" s="13">
        <v>0</v>
      </c>
      <c r="AF175" s="13">
        <v>338386</v>
      </c>
      <c r="AG175" s="19">
        <f t="shared" si="20"/>
        <v>0</v>
      </c>
      <c r="AH175" s="13">
        <v>845</v>
      </c>
      <c r="AI175" s="13">
        <v>124333</v>
      </c>
      <c r="AJ175" s="13">
        <v>0</v>
      </c>
      <c r="AK175" s="13">
        <v>52021</v>
      </c>
      <c r="AL175" s="13">
        <v>0</v>
      </c>
      <c r="AM175" s="13">
        <v>0</v>
      </c>
      <c r="AN175" s="13">
        <v>0</v>
      </c>
      <c r="AO175" s="13">
        <v>544</v>
      </c>
      <c r="AP175" s="13">
        <v>1795</v>
      </c>
      <c r="AQ175" s="13">
        <v>-106</v>
      </c>
      <c r="AR175" s="13">
        <v>-653</v>
      </c>
      <c r="AS175" s="13">
        <v>-1</v>
      </c>
      <c r="AT175" s="13">
        <f>40-1</f>
        <v>39</v>
      </c>
      <c r="AU175" s="13">
        <f t="shared" si="21"/>
        <v>1618</v>
      </c>
      <c r="AV175" s="13" t="s">
        <v>309</v>
      </c>
      <c r="AW175" s="13" t="s">
        <v>309</v>
      </c>
      <c r="AX175" s="13" t="s">
        <v>309</v>
      </c>
      <c r="AY175" s="13" t="s">
        <v>309</v>
      </c>
      <c r="AZ175" s="13" t="s">
        <v>309</v>
      </c>
      <c r="BA175" s="13" t="s">
        <v>309</v>
      </c>
      <c r="BB175" s="13" t="s">
        <v>309</v>
      </c>
      <c r="BC175" s="13">
        <v>0</v>
      </c>
    </row>
    <row r="176" spans="1:55" x14ac:dyDescent="0.25">
      <c r="A176" s="7">
        <v>21</v>
      </c>
      <c r="B176" s="7" t="s">
        <v>206</v>
      </c>
      <c r="C176" s="7" t="s">
        <v>268</v>
      </c>
      <c r="D176" s="7" t="s">
        <v>176</v>
      </c>
      <c r="E176" s="17" t="s">
        <v>290</v>
      </c>
      <c r="F176" s="17" t="s">
        <v>183</v>
      </c>
      <c r="G176" s="13">
        <v>33396405</v>
      </c>
      <c r="H176" s="13">
        <v>123255</v>
      </c>
      <c r="I176" s="13">
        <v>1079974</v>
      </c>
      <c r="J176" s="13">
        <v>19710651</v>
      </c>
      <c r="K176" s="13">
        <v>1985610</v>
      </c>
      <c r="L176" s="13">
        <v>5608004</v>
      </c>
      <c r="M176" s="13">
        <v>2680164</v>
      </c>
      <c r="N176" s="13">
        <v>31462644</v>
      </c>
      <c r="O176" s="19">
        <v>0.12</v>
      </c>
      <c r="P176" s="13">
        <f>7327+27485+18322+11927</f>
        <v>65061</v>
      </c>
      <c r="Q176" s="21">
        <f>1380123/31376380</f>
        <v>4.3986049378545264E-2</v>
      </c>
      <c r="R176" s="13">
        <v>1379848</v>
      </c>
      <c r="S176" s="13">
        <v>0</v>
      </c>
      <c r="T176" s="13">
        <v>718081</v>
      </c>
      <c r="U176" s="13">
        <v>55510</v>
      </c>
      <c r="V176" s="13">
        <v>176000</v>
      </c>
      <c r="W176" s="13">
        <v>89742</v>
      </c>
      <c r="X176" s="13">
        <v>2481</v>
      </c>
      <c r="Y176" s="13">
        <v>16716</v>
      </c>
      <c r="Z176" s="13">
        <v>1240</v>
      </c>
      <c r="AA176" s="13">
        <f>41508+50150+58748</f>
        <v>150406</v>
      </c>
      <c r="AB176" s="13">
        <v>9186</v>
      </c>
      <c r="AC176" s="13">
        <v>9679</v>
      </c>
      <c r="AD176" s="13">
        <v>70567</v>
      </c>
      <c r="AE176" s="13">
        <v>0</v>
      </c>
      <c r="AF176" s="13">
        <v>1419752</v>
      </c>
      <c r="AG176" s="19">
        <f t="shared" si="20"/>
        <v>0</v>
      </c>
      <c r="AH176" s="13">
        <v>203009</v>
      </c>
      <c r="AI176" s="13">
        <v>124333</v>
      </c>
      <c r="AJ176" s="13">
        <v>0</v>
      </c>
      <c r="AK176" s="13">
        <v>182903</v>
      </c>
      <c r="AL176" s="13">
        <v>0</v>
      </c>
      <c r="AM176" s="13">
        <v>0</v>
      </c>
      <c r="AN176" s="13">
        <v>0</v>
      </c>
      <c r="AO176" s="13">
        <v>9760</v>
      </c>
      <c r="AP176" s="13">
        <v>4845</v>
      </c>
      <c r="AQ176" s="13">
        <v>-460</v>
      </c>
      <c r="AR176" s="13">
        <v>-2012</v>
      </c>
      <c r="AS176" s="13">
        <v>-1951</v>
      </c>
      <c r="AT176" s="13">
        <v>-3</v>
      </c>
      <c r="AU176" s="13">
        <f t="shared" si="21"/>
        <v>10179</v>
      </c>
      <c r="AV176" s="13">
        <v>9539</v>
      </c>
      <c r="AW176" s="13">
        <v>3893</v>
      </c>
      <c r="AX176" s="13">
        <v>-349</v>
      </c>
      <c r="AY176" s="13">
        <v>-1628</v>
      </c>
      <c r="AZ176" s="13">
        <v>-1695</v>
      </c>
      <c r="BA176" s="13"/>
      <c r="BB176" s="13">
        <f t="shared" ref="BB176:BB183" si="22">SUM(AV176:BA176)</f>
        <v>9760</v>
      </c>
      <c r="BC176" s="13">
        <v>4</v>
      </c>
    </row>
    <row r="177" spans="1:55" x14ac:dyDescent="0.25">
      <c r="A177" s="7">
        <v>21</v>
      </c>
      <c r="B177" s="7" t="s">
        <v>226</v>
      </c>
      <c r="C177" s="7" t="s">
        <v>424</v>
      </c>
      <c r="D177" s="7" t="s">
        <v>380</v>
      </c>
      <c r="E177" s="17"/>
      <c r="F177" s="17" t="s">
        <v>383</v>
      </c>
      <c r="G177" s="13">
        <v>33339040</v>
      </c>
      <c r="H177" s="13">
        <v>211860</v>
      </c>
      <c r="I177" s="13">
        <v>1749755</v>
      </c>
      <c r="J177" s="13">
        <v>9086860</v>
      </c>
      <c r="K177" s="13">
        <v>1959760</v>
      </c>
      <c r="L177" s="13">
        <v>14355344</v>
      </c>
      <c r="M177" s="13">
        <v>4367374</v>
      </c>
      <c r="N177" s="13">
        <v>31823668</v>
      </c>
      <c r="O177" s="19">
        <v>0.14000000000000001</v>
      </c>
      <c r="P177" s="13">
        <v>44160</v>
      </c>
      <c r="Q177" s="21">
        <f>1981903/31710450</f>
        <v>6.2499996058081798E-2</v>
      </c>
      <c r="R177" s="13">
        <v>1982709</v>
      </c>
      <c r="S177" s="13">
        <v>0</v>
      </c>
      <c r="T177" s="13">
        <v>1058588</v>
      </c>
      <c r="U177" s="13">
        <v>104481</v>
      </c>
      <c r="V177" s="13">
        <v>268945</v>
      </c>
      <c r="W177" s="13">
        <f>186726+29436</f>
        <v>216162</v>
      </c>
      <c r="X177" s="13">
        <v>0</v>
      </c>
      <c r="Y177" s="13">
        <v>0</v>
      </c>
      <c r="Z177" s="13">
        <v>12998</v>
      </c>
      <c r="AA177" s="13">
        <f>26763+105546+83894</f>
        <v>216203</v>
      </c>
      <c r="AB177" s="13">
        <v>30213</v>
      </c>
      <c r="AC177" s="13">
        <v>0</v>
      </c>
      <c r="AD177" s="13">
        <v>18954</v>
      </c>
      <c r="AE177" s="13">
        <v>0</v>
      </c>
      <c r="AF177" s="13">
        <v>2110230</v>
      </c>
      <c r="AG177" s="19">
        <f t="shared" si="20"/>
        <v>0</v>
      </c>
      <c r="AH177" s="13">
        <v>59264</v>
      </c>
      <c r="AI177" s="13">
        <v>124337</v>
      </c>
      <c r="AJ177" s="13">
        <v>4</v>
      </c>
      <c r="AK177" s="13">
        <v>103307</v>
      </c>
      <c r="AL177" s="13">
        <v>0</v>
      </c>
      <c r="AM177" s="13">
        <v>0</v>
      </c>
      <c r="AN177" s="13">
        <v>0</v>
      </c>
      <c r="AO177" s="13">
        <v>13093</v>
      </c>
      <c r="AP177" s="13">
        <v>7170</v>
      </c>
      <c r="AQ177" s="13">
        <v>-605</v>
      </c>
      <c r="AR177" s="13">
        <v>-3466</v>
      </c>
      <c r="AS177" s="13">
        <v>-2352</v>
      </c>
      <c r="AT177" s="13"/>
      <c r="AU177" s="13">
        <f t="shared" si="21"/>
        <v>13840</v>
      </c>
      <c r="AV177" s="13">
        <v>13817</v>
      </c>
      <c r="AW177" s="13">
        <v>5860</v>
      </c>
      <c r="AX177" s="13">
        <v>-638</v>
      </c>
      <c r="AY177" s="13">
        <v>-3860</v>
      </c>
      <c r="AZ177" s="13">
        <v>-2086</v>
      </c>
      <c r="BA177" s="13"/>
      <c r="BB177" s="13">
        <f t="shared" si="22"/>
        <v>13093</v>
      </c>
      <c r="BC177" s="13">
        <v>0</v>
      </c>
    </row>
    <row r="178" spans="1:55" x14ac:dyDescent="0.25">
      <c r="A178" s="7">
        <v>21</v>
      </c>
      <c r="B178" s="7" t="s">
        <v>359</v>
      </c>
      <c r="C178" s="7" t="s">
        <v>523</v>
      </c>
      <c r="D178" s="7" t="s">
        <v>166</v>
      </c>
      <c r="E178" s="17" t="s">
        <v>290</v>
      </c>
      <c r="F178" s="17" t="s">
        <v>168</v>
      </c>
      <c r="G178" s="13">
        <v>11279578</v>
      </c>
      <c r="H178" s="13">
        <v>13113</v>
      </c>
      <c r="I178" s="13">
        <v>362155</v>
      </c>
      <c r="J178" s="13">
        <v>8722944</v>
      </c>
      <c r="K178" s="13">
        <v>552382</v>
      </c>
      <c r="L178" s="13">
        <v>911614</v>
      </c>
      <c r="M178" s="13">
        <v>136131</v>
      </c>
      <c r="N178" s="13">
        <v>10805349</v>
      </c>
      <c r="O178" s="19">
        <v>0.12</v>
      </c>
      <c r="P178" s="13">
        <v>1649443</v>
      </c>
      <c r="Q178" s="21">
        <f>378983/9178904</f>
        <v>4.1288480629059855E-2</v>
      </c>
      <c r="R178" s="13">
        <v>377225</v>
      </c>
      <c r="S178" s="13">
        <v>0</v>
      </c>
      <c r="T178" s="13">
        <v>187587</v>
      </c>
      <c r="U178" s="13">
        <v>14470</v>
      </c>
      <c r="V178" s="13">
        <v>23692</v>
      </c>
      <c r="W178" s="13">
        <v>27123</v>
      </c>
      <c r="X178" s="13">
        <v>1850</v>
      </c>
      <c r="Y178" s="13">
        <v>14476</v>
      </c>
      <c r="Z178" s="13">
        <v>0</v>
      </c>
      <c r="AA178" s="13">
        <f>6221+10985+8185</f>
        <v>25391</v>
      </c>
      <c r="AB178" s="13">
        <v>2869</v>
      </c>
      <c r="AC178" s="13">
        <v>1775</v>
      </c>
      <c r="AD178" s="13">
        <v>6827</v>
      </c>
      <c r="AE178" s="13">
        <v>0</v>
      </c>
      <c r="AF178" s="13">
        <v>329557</v>
      </c>
      <c r="AG178" s="19">
        <f t="shared" si="20"/>
        <v>0</v>
      </c>
      <c r="AH178" s="13">
        <v>22056</v>
      </c>
      <c r="AI178" s="13">
        <v>124333</v>
      </c>
      <c r="AJ178" s="13">
        <v>0</v>
      </c>
      <c r="AK178" s="13">
        <v>30272</v>
      </c>
      <c r="AL178" s="13">
        <v>0</v>
      </c>
      <c r="AM178" s="13">
        <v>0</v>
      </c>
      <c r="AN178" s="13">
        <v>0</v>
      </c>
      <c r="AO178" s="13">
        <v>1246</v>
      </c>
      <c r="AP178" s="13">
        <v>1041</v>
      </c>
      <c r="AQ178" s="13">
        <v>-106</v>
      </c>
      <c r="AR178" s="13">
        <v>-743</v>
      </c>
      <c r="AS178" s="13">
        <v>-65</v>
      </c>
      <c r="AT178" s="13">
        <f>3+19-1</f>
        <v>21</v>
      </c>
      <c r="AU178" s="13">
        <f t="shared" si="21"/>
        <v>1394</v>
      </c>
      <c r="AV178" s="13">
        <v>888</v>
      </c>
      <c r="AW178" s="13">
        <v>956</v>
      </c>
      <c r="AX178" s="13">
        <v>-94</v>
      </c>
      <c r="AY178" s="13">
        <v>-480</v>
      </c>
      <c r="AZ178" s="13">
        <v>-51</v>
      </c>
      <c r="BA178" s="13">
        <v>17</v>
      </c>
      <c r="BB178" s="13">
        <f t="shared" si="22"/>
        <v>1236</v>
      </c>
      <c r="BC178" s="13">
        <v>0</v>
      </c>
    </row>
    <row r="179" spans="1:55" x14ac:dyDescent="0.25">
      <c r="A179" s="7">
        <v>21</v>
      </c>
      <c r="B179" s="7" t="s">
        <v>413</v>
      </c>
      <c r="C179" s="7" t="s">
        <v>286</v>
      </c>
      <c r="D179" s="7" t="s">
        <v>166</v>
      </c>
      <c r="E179" s="17" t="s">
        <v>449</v>
      </c>
      <c r="F179" s="17" t="s">
        <v>168</v>
      </c>
      <c r="G179" s="13">
        <v>10651433</v>
      </c>
      <c r="H179" s="13">
        <v>98399</v>
      </c>
      <c r="I179" s="13">
        <v>318026</v>
      </c>
      <c r="J179" s="13">
        <v>8956994</v>
      </c>
      <c r="K179" s="13">
        <v>471862</v>
      </c>
      <c r="L179" s="13">
        <v>1293135</v>
      </c>
      <c r="M179" s="13">
        <v>336879</v>
      </c>
      <c r="N179" s="13">
        <v>11613558</v>
      </c>
      <c r="O179" s="19">
        <v>0.14000000000000001</v>
      </c>
      <c r="P179" s="13">
        <v>0</v>
      </c>
      <c r="Q179" s="21">
        <f>550444/11607405</f>
        <v>4.7421796689268617E-2</v>
      </c>
      <c r="R179" s="13">
        <v>550475</v>
      </c>
      <c r="S179" s="13">
        <v>0</v>
      </c>
      <c r="T179" s="13">
        <v>206710</v>
      </c>
      <c r="U179" s="13">
        <v>64878</v>
      </c>
      <c r="V179" s="13">
        <v>32949</v>
      </c>
      <c r="W179" s="13">
        <v>142402</v>
      </c>
      <c r="X179" s="13">
        <v>3409</v>
      </c>
      <c r="Y179" s="13">
        <v>16716</v>
      </c>
      <c r="Z179" s="13">
        <v>0</v>
      </c>
      <c r="AA179" s="13">
        <f>29812+7348+8279</f>
        <v>45439</v>
      </c>
      <c r="AB179" s="13">
        <v>0</v>
      </c>
      <c r="AC179" s="13">
        <v>0</v>
      </c>
      <c r="AD179" s="13">
        <v>0</v>
      </c>
      <c r="AE179" s="13">
        <v>35607</v>
      </c>
      <c r="AF179" s="13">
        <v>575999</v>
      </c>
      <c r="AG179" s="19">
        <f t="shared" si="20"/>
        <v>6.1817815655929961E-2</v>
      </c>
      <c r="AH179" s="13">
        <v>110312</v>
      </c>
      <c r="AI179" s="13">
        <v>124333</v>
      </c>
      <c r="AJ179" s="13">
        <v>0</v>
      </c>
      <c r="AK179" s="13">
        <v>60249</v>
      </c>
      <c r="AL179" s="13">
        <v>0</v>
      </c>
      <c r="AM179" s="13">
        <v>0</v>
      </c>
      <c r="AN179" s="13">
        <v>0</v>
      </c>
      <c r="AO179" s="13">
        <v>2031</v>
      </c>
      <c r="AP179" s="13">
        <v>0</v>
      </c>
      <c r="AQ179" s="13">
        <v>-47</v>
      </c>
      <c r="AR179" s="13">
        <v>-267</v>
      </c>
      <c r="AS179" s="13">
        <v>-274</v>
      </c>
      <c r="AT179" s="13">
        <v>0</v>
      </c>
      <c r="AU179" s="13">
        <f t="shared" si="21"/>
        <v>1443</v>
      </c>
      <c r="AV179" s="13">
        <v>2347</v>
      </c>
      <c r="AW179" s="13">
        <v>663</v>
      </c>
      <c r="AX179" s="13">
        <v>-155</v>
      </c>
      <c r="AY179" s="13">
        <v>-672</v>
      </c>
      <c r="AZ179" s="13">
        <v>-152</v>
      </c>
      <c r="BA179" s="13">
        <v>0</v>
      </c>
      <c r="BB179" s="13">
        <f t="shared" si="22"/>
        <v>2031</v>
      </c>
      <c r="BC179" s="13">
        <v>25</v>
      </c>
    </row>
    <row r="180" spans="1:55" x14ac:dyDescent="0.25">
      <c r="A180" s="7">
        <v>21</v>
      </c>
      <c r="B180" s="7" t="s">
        <v>445</v>
      </c>
      <c r="C180" s="7" t="s">
        <v>101</v>
      </c>
      <c r="D180" s="7" t="s">
        <v>176</v>
      </c>
      <c r="E180" s="17" t="s">
        <v>290</v>
      </c>
      <c r="F180" s="17" t="s">
        <v>183</v>
      </c>
      <c r="G180" s="13">
        <v>21830072</v>
      </c>
      <c r="H180" s="13">
        <v>88667</v>
      </c>
      <c r="I180" s="13">
        <v>654435</v>
      </c>
      <c r="J180" s="13">
        <v>13279260</v>
      </c>
      <c r="K180" s="13">
        <v>1013002</v>
      </c>
      <c r="L180" s="13">
        <v>2924066</v>
      </c>
      <c r="M180" s="13">
        <v>2121024</v>
      </c>
      <c r="N180" s="13">
        <v>20430290</v>
      </c>
      <c r="O180" s="19">
        <v>0.13</v>
      </c>
      <c r="P180" s="13">
        <v>0</v>
      </c>
      <c r="Q180" s="21">
        <f>1032817/20333879</f>
        <v>5.079291560651069E-2</v>
      </c>
      <c r="R180" s="13">
        <v>1032550</v>
      </c>
      <c r="S180" s="13">
        <v>0</v>
      </c>
      <c r="T180" s="13">
        <v>482978</v>
      </c>
      <c r="U180" s="13">
        <v>43516</v>
      </c>
      <c r="V180" s="13">
        <v>125980</v>
      </c>
      <c r="W180" s="13">
        <v>70530</v>
      </c>
      <c r="X180" s="13">
        <v>1913</v>
      </c>
      <c r="Y180" s="13">
        <v>18716</v>
      </c>
      <c r="Z180" s="13">
        <v>563</v>
      </c>
      <c r="AA180" s="13">
        <f>25092+38607+38265</f>
        <v>101964</v>
      </c>
      <c r="AB180" s="13">
        <v>17909</v>
      </c>
      <c r="AC180" s="13">
        <v>793</v>
      </c>
      <c r="AD180" s="13">
        <v>23404</v>
      </c>
      <c r="AE180" s="13">
        <v>0</v>
      </c>
      <c r="AF180" s="13">
        <v>978587</v>
      </c>
      <c r="AG180" s="19">
        <f t="shared" si="20"/>
        <v>0</v>
      </c>
      <c r="AH180" s="13">
        <v>91743</v>
      </c>
      <c r="AI180" s="13">
        <v>124333</v>
      </c>
      <c r="AJ180" s="13">
        <v>0</v>
      </c>
      <c r="AK180" s="13">
        <v>125623</v>
      </c>
      <c r="AL180" s="13">
        <v>0</v>
      </c>
      <c r="AM180" s="13">
        <v>0</v>
      </c>
      <c r="AN180" s="13">
        <v>0</v>
      </c>
      <c r="AO180" s="13">
        <v>5731</v>
      </c>
      <c r="AP180" s="13">
        <v>3739</v>
      </c>
      <c r="AQ180" s="13">
        <v>-220</v>
      </c>
      <c r="AR180" s="13">
        <v>-1216</v>
      </c>
      <c r="AS180" s="13">
        <v>-938</v>
      </c>
      <c r="AT180" s="13">
        <v>-2</v>
      </c>
      <c r="AU180" s="13">
        <f t="shared" si="21"/>
        <v>7094</v>
      </c>
      <c r="AV180" s="13">
        <v>5084</v>
      </c>
      <c r="AW180" s="13">
        <v>2673</v>
      </c>
      <c r="AX180" s="13">
        <v>-191</v>
      </c>
      <c r="AY180" s="13">
        <v>-1019</v>
      </c>
      <c r="AZ180" s="13">
        <v>-814</v>
      </c>
      <c r="BA180" s="13">
        <v>-2</v>
      </c>
      <c r="BB180" s="13">
        <f t="shared" si="22"/>
        <v>5731</v>
      </c>
      <c r="BC180" s="13">
        <v>7</v>
      </c>
    </row>
    <row r="181" spans="1:55" x14ac:dyDescent="0.25">
      <c r="A181" s="7">
        <v>21</v>
      </c>
      <c r="B181" s="7" t="s">
        <v>446</v>
      </c>
      <c r="C181" s="7" t="s">
        <v>62</v>
      </c>
      <c r="D181" s="7" t="s">
        <v>166</v>
      </c>
      <c r="E181" s="17" t="s">
        <v>290</v>
      </c>
      <c r="F181" s="17" t="s">
        <v>168</v>
      </c>
      <c r="G181" s="13">
        <v>14039214</v>
      </c>
      <c r="H181" s="13">
        <v>20125</v>
      </c>
      <c r="I181" s="13">
        <v>976775</v>
      </c>
      <c r="J181" s="13">
        <v>4954121</v>
      </c>
      <c r="K181" s="13">
        <v>1736511</v>
      </c>
      <c r="L181" s="13">
        <v>4809405</v>
      </c>
      <c r="M181" s="13">
        <v>250252</v>
      </c>
      <c r="N181" s="13">
        <v>12412533</v>
      </c>
      <c r="O181" s="19">
        <v>0.16</v>
      </c>
      <c r="P181" s="13">
        <v>0</v>
      </c>
      <c r="Q181" s="21">
        <f>618443/12368855</f>
        <v>5.0000020212056816E-2</v>
      </c>
      <c r="R181" s="13">
        <v>618566</v>
      </c>
      <c r="S181" s="13">
        <v>0</v>
      </c>
      <c r="T181" s="13">
        <v>323644</v>
      </c>
      <c r="U181" s="13">
        <v>25642</v>
      </c>
      <c r="V181" s="13">
        <v>57155</v>
      </c>
      <c r="W181" s="13">
        <f>49195+1946</f>
        <v>51141</v>
      </c>
      <c r="X181" s="13">
        <v>0</v>
      </c>
      <c r="Y181" s="13">
        <v>10701</v>
      </c>
      <c r="Z181" s="13">
        <v>334</v>
      </c>
      <c r="AA181" s="13">
        <f>12990+28103+14492</f>
        <v>55585</v>
      </c>
      <c r="AB181" s="13">
        <v>3345</v>
      </c>
      <c r="AC181" s="13">
        <v>0</v>
      </c>
      <c r="AD181" s="13">
        <v>5149</v>
      </c>
      <c r="AE181" s="13">
        <v>3856</v>
      </c>
      <c r="AF181" s="13">
        <v>564562</v>
      </c>
      <c r="AG181" s="19">
        <f t="shared" si="20"/>
        <v>6.8300735791640248E-3</v>
      </c>
      <c r="AH181" s="13">
        <v>93755</v>
      </c>
      <c r="AI181" s="13">
        <v>124333</v>
      </c>
      <c r="AJ181" s="13">
        <v>0</v>
      </c>
      <c r="AK181" s="13">
        <v>84046</v>
      </c>
      <c r="AL181" s="13">
        <v>0</v>
      </c>
      <c r="AM181" s="13">
        <v>0</v>
      </c>
      <c r="AN181" s="13">
        <v>0</v>
      </c>
      <c r="AO181" s="13">
        <v>3572</v>
      </c>
      <c r="AP181" s="13">
        <v>3040</v>
      </c>
      <c r="AQ181" s="13">
        <v>-308</v>
      </c>
      <c r="AR181" s="13">
        <v>-1515</v>
      </c>
      <c r="AS181" s="13">
        <v>-608</v>
      </c>
      <c r="AT181" s="13">
        <f>2+59-2</f>
        <v>59</v>
      </c>
      <c r="AU181" s="13">
        <f t="shared" si="21"/>
        <v>4240</v>
      </c>
      <c r="AV181" s="13">
        <v>3541</v>
      </c>
      <c r="AW181" s="13">
        <v>2215</v>
      </c>
      <c r="AX181" s="13">
        <v>-254</v>
      </c>
      <c r="AY181" s="13">
        <v>-1249</v>
      </c>
      <c r="AZ181" s="13">
        <v>-754</v>
      </c>
      <c r="BA181" s="13">
        <f>1+72</f>
        <v>73</v>
      </c>
      <c r="BB181" s="13">
        <f t="shared" si="22"/>
        <v>3572</v>
      </c>
      <c r="BC181" s="13">
        <v>0</v>
      </c>
    </row>
    <row r="182" spans="1:55" x14ac:dyDescent="0.25">
      <c r="A182" s="7">
        <v>21</v>
      </c>
      <c r="B182" s="7" t="s">
        <v>476</v>
      </c>
      <c r="C182" s="7" t="s">
        <v>30</v>
      </c>
      <c r="D182" s="7" t="s">
        <v>176</v>
      </c>
      <c r="E182" s="17" t="s">
        <v>331</v>
      </c>
      <c r="F182" s="17" t="s">
        <v>183</v>
      </c>
      <c r="G182" s="13">
        <v>63845676</v>
      </c>
      <c r="H182" s="13">
        <v>286833</v>
      </c>
      <c r="I182" s="13">
        <v>1830589</v>
      </c>
      <c r="J182" s="13">
        <v>42288465</v>
      </c>
      <c r="K182" s="13">
        <v>31896</v>
      </c>
      <c r="L182" s="13">
        <v>10277534</v>
      </c>
      <c r="M182" s="13">
        <v>6316045</v>
      </c>
      <c r="N182" s="13">
        <v>61010397</v>
      </c>
      <c r="O182" s="19">
        <v>0.12</v>
      </c>
      <c r="P182" s="13">
        <v>0</v>
      </c>
      <c r="Q182" s="21">
        <f>1616137/61004787</f>
        <v>2.6491970212108109E-2</v>
      </c>
      <c r="R182" s="13">
        <v>1616065</v>
      </c>
      <c r="S182" s="13">
        <v>0</v>
      </c>
      <c r="T182" s="13">
        <v>957505</v>
      </c>
      <c r="U182" s="13">
        <v>70773</v>
      </c>
      <c r="V182" s="13">
        <v>276644</v>
      </c>
      <c r="W182" s="13">
        <v>136582</v>
      </c>
      <c r="X182" s="13">
        <v>1858</v>
      </c>
      <c r="Y182" s="13">
        <v>16966</v>
      </c>
      <c r="Z182" s="13">
        <v>502</v>
      </c>
      <c r="AA182" s="13">
        <f>34712+77974+44226</f>
        <v>156912</v>
      </c>
      <c r="AB182" s="13">
        <v>12261</v>
      </c>
      <c r="AC182" s="13">
        <v>0</v>
      </c>
      <c r="AD182" s="13">
        <v>38917</v>
      </c>
      <c r="AE182" s="13">
        <v>0</v>
      </c>
      <c r="AF182" s="13">
        <v>1778535</v>
      </c>
      <c r="AG182" s="19">
        <f t="shared" si="20"/>
        <v>0</v>
      </c>
      <c r="AH182" s="13">
        <v>271843</v>
      </c>
      <c r="AI182" s="13">
        <v>124333</v>
      </c>
      <c r="AJ182" s="13">
        <v>0</v>
      </c>
      <c r="AK182" s="13">
        <v>295492</v>
      </c>
      <c r="AL182" s="13">
        <v>0</v>
      </c>
      <c r="AM182" s="13">
        <v>0</v>
      </c>
      <c r="AN182" s="13">
        <v>0</v>
      </c>
      <c r="AO182" s="13">
        <v>17983</v>
      </c>
      <c r="AP182" s="13">
        <v>10383</v>
      </c>
      <c r="AQ182" s="13">
        <v>-632</v>
      </c>
      <c r="AR182" s="13">
        <v>-6587</v>
      </c>
      <c r="AS182" s="13">
        <v>-2725</v>
      </c>
      <c r="AT182" s="13">
        <v>-7</v>
      </c>
      <c r="AU182" s="13">
        <f t="shared" si="21"/>
        <v>18415</v>
      </c>
      <c r="AV182" s="13">
        <v>16789</v>
      </c>
      <c r="AW182" s="13">
        <v>9343</v>
      </c>
      <c r="AX182" s="13">
        <v>-587</v>
      </c>
      <c r="AY182" s="13">
        <v>-5158</v>
      </c>
      <c r="AZ182" s="13">
        <v>-2400</v>
      </c>
      <c r="BA182" s="13">
        <v>-4</v>
      </c>
      <c r="BB182" s="13">
        <f t="shared" si="22"/>
        <v>17983</v>
      </c>
      <c r="BC182" s="13">
        <v>9</v>
      </c>
    </row>
    <row r="183" spans="1:55" x14ac:dyDescent="0.25">
      <c r="A183" s="7">
        <v>21</v>
      </c>
      <c r="B183" s="7" t="s">
        <v>510</v>
      </c>
      <c r="C183" s="7" t="s">
        <v>192</v>
      </c>
      <c r="D183" s="7" t="s">
        <v>166</v>
      </c>
      <c r="E183" s="17" t="s">
        <v>449</v>
      </c>
      <c r="F183" s="17" t="s">
        <v>168</v>
      </c>
      <c r="G183" s="13">
        <v>16612918</v>
      </c>
      <c r="H183" s="13">
        <v>52634</v>
      </c>
      <c r="I183" s="13">
        <v>425919</v>
      </c>
      <c r="J183" s="13">
        <v>12956548</v>
      </c>
      <c r="K183" s="13">
        <v>440455</v>
      </c>
      <c r="L183" s="13">
        <v>661664</v>
      </c>
      <c r="M183" s="13">
        <v>887490</v>
      </c>
      <c r="N183" s="13">
        <v>15675539</v>
      </c>
      <c r="O183" s="19">
        <v>0.12</v>
      </c>
      <c r="P183" s="13">
        <v>0</v>
      </c>
      <c r="Q183" s="21">
        <f>715514/15662958</f>
        <v>4.5681920362679894E-2</v>
      </c>
      <c r="R183" s="13">
        <v>715514</v>
      </c>
      <c r="S183" s="13">
        <v>0</v>
      </c>
      <c r="T183" s="13">
        <v>342394</v>
      </c>
      <c r="U183" s="13">
        <v>28051</v>
      </c>
      <c r="V183" s="13">
        <v>54997</v>
      </c>
      <c r="W183" s="13">
        <v>50599</v>
      </c>
      <c r="X183" s="13">
        <v>2327</v>
      </c>
      <c r="Y183" s="13">
        <v>15472</v>
      </c>
      <c r="Z183" s="13">
        <v>1965</v>
      </c>
      <c r="AA183" s="13">
        <f>15218+23589+30595</f>
        <v>69402</v>
      </c>
      <c r="AB183" s="13">
        <v>18030</v>
      </c>
      <c r="AC183" s="13">
        <v>569</v>
      </c>
      <c r="AD183" s="13">
        <v>21036</v>
      </c>
      <c r="AE183" s="13">
        <v>0</v>
      </c>
      <c r="AF183" s="13">
        <v>643722</v>
      </c>
      <c r="AG183" s="19">
        <f t="shared" si="20"/>
        <v>0</v>
      </c>
      <c r="AH183" s="13">
        <v>72700</v>
      </c>
      <c r="AI183" s="13">
        <v>124339</v>
      </c>
      <c r="AJ183" s="13">
        <v>6</v>
      </c>
      <c r="AK183" s="13">
        <v>85658</v>
      </c>
      <c r="AL183" s="13">
        <v>0</v>
      </c>
      <c r="AM183" s="13">
        <v>0</v>
      </c>
      <c r="AN183" s="13">
        <v>0</v>
      </c>
      <c r="AO183" s="13">
        <v>1513</v>
      </c>
      <c r="AP183" s="13">
        <v>2014</v>
      </c>
      <c r="AQ183" s="13">
        <v>-124</v>
      </c>
      <c r="AR183" s="13">
        <v>-1097</v>
      </c>
      <c r="AS183" s="13">
        <v>-25</v>
      </c>
      <c r="AT183" s="13">
        <v>22</v>
      </c>
      <c r="AU183" s="13">
        <f t="shared" si="21"/>
        <v>2303</v>
      </c>
      <c r="AV183" s="13">
        <v>1082</v>
      </c>
      <c r="AW183" s="13">
        <v>1555</v>
      </c>
      <c r="AX183" s="13">
        <v>-148</v>
      </c>
      <c r="AY183" s="13">
        <v>-987</v>
      </c>
      <c r="AZ183" s="13">
        <v>-9</v>
      </c>
      <c r="BA183" s="13">
        <v>20</v>
      </c>
      <c r="BB183" s="13">
        <f t="shared" si="22"/>
        <v>1513</v>
      </c>
      <c r="BC183" s="13">
        <v>0</v>
      </c>
    </row>
    <row r="184" spans="1:55" x14ac:dyDescent="0.25">
      <c r="O184" s="25"/>
      <c r="Q184" s="26"/>
      <c r="AG184" s="26"/>
    </row>
    <row r="185" spans="1:55" x14ac:dyDescent="0.25">
      <c r="C185" s="2" t="s">
        <v>336</v>
      </c>
      <c r="O185" s="25"/>
      <c r="Q185" s="26"/>
      <c r="AG185" s="26"/>
    </row>
    <row r="186" spans="1:55" x14ac:dyDescent="0.25">
      <c r="O186" s="25"/>
      <c r="Q186" s="26"/>
      <c r="AG186" s="26"/>
    </row>
    <row r="187" spans="1:55" x14ac:dyDescent="0.25">
      <c r="C187" s="2" t="s">
        <v>334</v>
      </c>
    </row>
    <row r="188" spans="1:55" x14ac:dyDescent="0.25">
      <c r="C188" s="2" t="s">
        <v>370</v>
      </c>
    </row>
    <row r="189" spans="1:55" x14ac:dyDescent="0.25">
      <c r="C189" s="2"/>
    </row>
    <row r="190" spans="1:55" x14ac:dyDescent="0.25">
      <c r="C190" s="2" t="s">
        <v>335</v>
      </c>
      <c r="O190" s="25"/>
      <c r="Q190" s="26"/>
      <c r="AG190" s="26"/>
    </row>
    <row r="192" spans="1:55" x14ac:dyDescent="0.25">
      <c r="C192" s="15"/>
      <c r="O192" s="25"/>
      <c r="Q192" s="26"/>
      <c r="AG192" s="28"/>
    </row>
    <row r="193" spans="15:33" x14ac:dyDescent="0.25">
      <c r="O193" s="25"/>
      <c r="Q193" s="26"/>
      <c r="AG193" s="28"/>
    </row>
    <row r="194" spans="15:33" x14ac:dyDescent="0.25">
      <c r="O194" s="25"/>
      <c r="Q194" s="26"/>
      <c r="AG194" s="28"/>
    </row>
    <row r="195" spans="15:33" x14ac:dyDescent="0.25">
      <c r="O195" s="25"/>
      <c r="Q195" s="26"/>
    </row>
    <row r="196" spans="15:33" x14ac:dyDescent="0.25">
      <c r="O196" s="25"/>
      <c r="Q196" s="26"/>
    </row>
  </sheetData>
  <pageMargins left="0.75" right="0.75" top="1" bottom="1" header="0.5" footer="0.5"/>
  <headerFooter>
    <oddHeader>&amp;L&amp;"Arial"&amp;10CHAPTER 13 STANDING TRUSTEE FY96 AUDITED ANNUAL REPORTS</oddHeader>
    <oddFooter>&amp;L&amp;"Arial"&amp;8&amp;D
S:\REVIEW AND OVERSIGHT\CH13\1996\CH13AR96.WB3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40</vt:i4>
      </vt:variant>
    </vt:vector>
  </HeadingPairs>
  <TitlesOfParts>
    <vt:vector size="41" baseType="lpstr">
      <vt:lpstr>A</vt:lpstr>
      <vt:lpstr>ALLOC2</vt:lpstr>
      <vt:lpstr>ALLOC8</vt:lpstr>
      <vt:lpstr>AUD13</vt:lpstr>
      <vt:lpstr>AUDIT</vt:lpstr>
      <vt:lpstr>AUDIT8</vt:lpstr>
      <vt:lpstr>BU</vt:lpstr>
      <vt:lpstr>CASH</vt:lpstr>
      <vt:lpstr>CASH13</vt:lpstr>
      <vt:lpstr>CASH2</vt:lpstr>
      <vt:lpstr>CASH8</vt:lpstr>
      <vt:lpstr>DATA</vt:lpstr>
      <vt:lpstr>DISB</vt:lpstr>
      <vt:lpstr>DISB13</vt:lpstr>
      <vt:lpstr>DISB8</vt:lpstr>
      <vt:lpstr>DISBTOT8</vt:lpstr>
      <vt:lpstr>ELEVEN</vt:lpstr>
      <vt:lpstr>EN</vt:lpstr>
      <vt:lpstr>EXP</vt:lpstr>
      <vt:lpstr>EXP13</vt:lpstr>
      <vt:lpstr>EXP2</vt:lpstr>
      <vt:lpstr>EXP8</vt:lpstr>
      <vt:lpstr>LO</vt:lpstr>
      <vt:lpstr>LO2</vt:lpstr>
      <vt:lpstr>NAMES</vt:lpstr>
      <vt:lpstr>NINE</vt:lpstr>
      <vt:lpstr>OLD</vt:lpstr>
      <vt:lpstr>OVER2</vt:lpstr>
      <vt:lpstr>OVER60</vt:lpstr>
      <vt:lpstr>OVER8</vt:lpstr>
      <vt:lpstr>A!Print_Titles</vt:lpstr>
      <vt:lpstr>RATIO</vt:lpstr>
      <vt:lpstr>REG12</vt:lpstr>
      <vt:lpstr>REG13</vt:lpstr>
      <vt:lpstr>REG17</vt:lpstr>
      <vt:lpstr>SUM60</vt:lpstr>
      <vt:lpstr>SUMDISB</vt:lpstr>
      <vt:lpstr>SUMEXP</vt:lpstr>
      <vt:lpstr>SUMRATIO</vt:lpstr>
      <vt:lpstr>THIRTEEN</vt:lpstr>
      <vt:lpstr>TOTDISB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Finan, Debra  (USTP)</dc:creator>
  <cp:lastModifiedBy>US Trustee Program</cp:lastModifiedBy>
  <dcterms:created xsi:type="dcterms:W3CDTF">2012-08-29T16:56:26Z</dcterms:created>
  <dcterms:modified xsi:type="dcterms:W3CDTF">2012-08-29T16:56:37Z</dcterms:modified>
</cp:coreProperties>
</file>