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336" windowHeight="9444"/>
  </bookViews>
  <sheets>
    <sheet name="A" sheetId="1" r:id="rId1"/>
    <sheet name="B" sheetId="2" r:id="rId2"/>
  </sheets>
  <definedNames>
    <definedName name="_AUD13">A!$AT$121:$BH$124</definedName>
    <definedName name="_EXP13">A!$AG$121:$AH$124</definedName>
    <definedName name="_EXP2">A!$AH$18:$AH$28</definedName>
    <definedName name="_EXP8">A!$AH$71:$AH$79</definedName>
    <definedName name="_LO2">A!$AG$140:$AH$143</definedName>
    <definedName name="_NBSTARTMACRO">B!$B$1</definedName>
    <definedName name="_REG12">A!$J$118:$O$120</definedName>
    <definedName name="_REG13">A!$J$121:$O$124</definedName>
    <definedName name="_REG17">A!$J$137:$O$143</definedName>
    <definedName name="ALLOC2">A!$AG$18:$AG$28</definedName>
    <definedName name="ALLOC8">A!$AG$71:$AG$79</definedName>
    <definedName name="AUDIT">A!$AT$18:$BH$28</definedName>
    <definedName name="AUDIT8">A!$AS$71:$BH$79</definedName>
    <definedName name="BU">A!$J$137:$O$137</definedName>
    <definedName name="CASH">A!$P$29:$P$35</definedName>
    <definedName name="CASH13">A!$P$121:$P$124</definedName>
    <definedName name="CASH2">A!$P$18:$P$28</definedName>
    <definedName name="CASH8">A!$P$71:$P$79</definedName>
    <definedName name="DATA">A!$J$144:$O$157</definedName>
    <definedName name="DISB">A!$J$18:$L$28</definedName>
    <definedName name="DISB13">A!$J$121:$O$124</definedName>
    <definedName name="DISB8">A!$J$71:$L$79</definedName>
    <definedName name="DISBTOT8">A!$O$71:$O$79</definedName>
    <definedName name="ELEVEN">A!$D$109:$AU$114</definedName>
    <definedName name="EN">A!$J$139:$O$139</definedName>
    <definedName name="EXP">A!$AG$29:$AH$35</definedName>
    <definedName name="LO">A!$J$140:$O$143</definedName>
    <definedName name="NAMES">A!$B$12:$E$178</definedName>
    <definedName name="NINE">A!$D$80:$AU$94</definedName>
    <definedName name="_xlnm.Print_Titles" localSheetId="0">A!$A:$B,A!$3:$11</definedName>
    <definedName name="_xlnm.Print_Titles" localSheetId="1">B!$A:$B,B!$3:$11</definedName>
    <definedName name="RATIO">A!$P$12:$P$14</definedName>
    <definedName name="SUMDISB">A!$J$16:$O$16</definedName>
    <definedName name="SUMEXP">A!$AG$16:$AH$16</definedName>
    <definedName name="SUMRATIO">A!$P$16:$P$16</definedName>
    <definedName name="THIRTEEN">A!$D$121:$AU$124</definedName>
    <definedName name="TOTDISB">A!$O$18:$O$28</definedName>
  </definedNames>
  <calcPr calcId="145621" iterateCount="2"/>
</workbook>
</file>

<file path=xl/calcChain.xml><?xml version="1.0" encoding="utf-8"?>
<calcChain xmlns="http://schemas.openxmlformats.org/spreadsheetml/2006/main">
  <c r="I9" i="1" l="1"/>
  <c r="L9" i="1"/>
  <c r="M9" i="1"/>
  <c r="P9" i="1"/>
  <c r="S9" i="1"/>
  <c r="V9" i="1"/>
  <c r="W9" i="1"/>
  <c r="X9" i="1"/>
  <c r="Z9" i="1"/>
  <c r="AA9" i="1"/>
  <c r="AB9" i="1"/>
  <c r="AD9" i="1"/>
  <c r="AE9" i="1"/>
  <c r="AF9" i="1"/>
  <c r="AI9" i="1"/>
  <c r="AK9" i="1"/>
  <c r="AM9" i="1"/>
  <c r="AN9" i="1"/>
  <c r="AO9" i="1"/>
  <c r="AP9" i="1"/>
  <c r="AR9" i="1"/>
  <c r="AS9" i="1"/>
  <c r="AU9" i="1"/>
  <c r="AW9" i="1"/>
  <c r="I10" i="1"/>
  <c r="L10" i="1"/>
  <c r="M10" i="1"/>
  <c r="S10" i="1"/>
  <c r="V10" i="1"/>
  <c r="W10" i="1"/>
  <c r="X10" i="1"/>
  <c r="Z10" i="1"/>
  <c r="AA10" i="1"/>
  <c r="AB10" i="1"/>
  <c r="AD10" i="1"/>
  <c r="AE10" i="1"/>
  <c r="AF10" i="1"/>
  <c r="AI10" i="1"/>
  <c r="AK10" i="1"/>
  <c r="AM10" i="1"/>
  <c r="AN10" i="1"/>
  <c r="AO10" i="1"/>
  <c r="AP10" i="1"/>
  <c r="AR10" i="1"/>
  <c r="AS10" i="1"/>
  <c r="AU10" i="1"/>
  <c r="AW10" i="1"/>
  <c r="R12" i="1"/>
  <c r="R9" i="1" s="1"/>
  <c r="U12" i="1"/>
  <c r="U10" i="1" s="1"/>
  <c r="Y12" i="1"/>
  <c r="Y10" i="1" s="1"/>
  <c r="AC12" i="1"/>
  <c r="AC10" i="1" s="1"/>
  <c r="AJ12" i="1"/>
  <c r="AX12" i="1"/>
  <c r="AX9" i="1" s="1"/>
  <c r="AY12" i="1"/>
  <c r="R13" i="1"/>
  <c r="U13" i="1"/>
  <c r="AC13" i="1"/>
  <c r="AJ13" i="1"/>
  <c r="AX13" i="1"/>
  <c r="AY13" i="1"/>
  <c r="R14" i="1"/>
  <c r="U14" i="1"/>
  <c r="Y14" i="1"/>
  <c r="AC14" i="1"/>
  <c r="AJ14" i="1"/>
  <c r="AX14" i="1"/>
  <c r="AY14" i="1" s="1"/>
  <c r="R15" i="1"/>
  <c r="U15" i="1"/>
  <c r="AC15" i="1"/>
  <c r="AJ15" i="1"/>
  <c r="AY15" i="1"/>
  <c r="R16" i="1"/>
  <c r="U16" i="1"/>
  <c r="Y16" i="1"/>
  <c r="AC16" i="1"/>
  <c r="AJ16" i="1"/>
  <c r="AY16" i="1"/>
  <c r="R17" i="1"/>
  <c r="U17" i="1"/>
  <c r="AC17" i="1"/>
  <c r="AJ17" i="1"/>
  <c r="AX17" i="1"/>
  <c r="AY17" i="1"/>
  <c r="R18" i="1"/>
  <c r="U18" i="1"/>
  <c r="Y18" i="1"/>
  <c r="AC18" i="1"/>
  <c r="AJ18" i="1"/>
  <c r="AY18" i="1"/>
  <c r="R19" i="1"/>
  <c r="U19" i="1"/>
  <c r="Y19" i="1"/>
  <c r="AC19" i="1"/>
  <c r="AJ19" i="1"/>
  <c r="AY19" i="1"/>
  <c r="R20" i="1"/>
  <c r="U20" i="1"/>
  <c r="AC20" i="1"/>
  <c r="AJ20" i="1"/>
  <c r="AX20" i="1"/>
  <c r="AY20" i="1"/>
  <c r="R21" i="1"/>
  <c r="U21" i="1"/>
  <c r="AC21" i="1"/>
  <c r="AJ21" i="1"/>
  <c r="AY21" i="1"/>
  <c r="R22" i="1"/>
  <c r="Y22" i="1"/>
  <c r="AC22" i="1"/>
  <c r="AJ22" i="1"/>
  <c r="AY22" i="1"/>
  <c r="R23" i="1"/>
  <c r="U23" i="1"/>
  <c r="Y23" i="1"/>
  <c r="AC23" i="1"/>
  <c r="AJ23" i="1"/>
  <c r="AX23" i="1"/>
  <c r="AY23" i="1" s="1"/>
  <c r="R24" i="1"/>
  <c r="U24" i="1"/>
  <c r="AC24" i="1"/>
  <c r="AJ24" i="1"/>
  <c r="AY24" i="1"/>
  <c r="R25" i="1"/>
  <c r="U25" i="1"/>
  <c r="AC25" i="1"/>
  <c r="AJ25" i="1"/>
  <c r="AY25" i="1"/>
  <c r="R26" i="1"/>
  <c r="U26" i="1"/>
  <c r="AC26" i="1"/>
  <c r="AJ26" i="1"/>
  <c r="AY26" i="1"/>
  <c r="R27" i="1"/>
  <c r="U27" i="1"/>
  <c r="AC27" i="1"/>
  <c r="AJ27" i="1"/>
  <c r="AY27" i="1"/>
  <c r="R28" i="1"/>
  <c r="U28" i="1"/>
  <c r="AC28" i="1"/>
  <c r="AJ28" i="1"/>
  <c r="AY28" i="1"/>
  <c r="R29" i="1"/>
  <c r="U29" i="1"/>
  <c r="Y29" i="1"/>
  <c r="AC29" i="1"/>
  <c r="AJ29" i="1"/>
  <c r="AY29" i="1"/>
  <c r="R30" i="1"/>
  <c r="U30" i="1"/>
  <c r="AC30" i="1"/>
  <c r="AJ30" i="1"/>
  <c r="AX30" i="1"/>
  <c r="AY30" i="1"/>
  <c r="R31" i="1"/>
  <c r="U31" i="1"/>
  <c r="AC31" i="1"/>
  <c r="AJ31" i="1"/>
  <c r="AY31" i="1"/>
  <c r="R32" i="1"/>
  <c r="U32" i="1"/>
  <c r="Y32" i="1"/>
  <c r="AC32" i="1"/>
  <c r="AJ32" i="1"/>
  <c r="AY32" i="1"/>
  <c r="R33" i="1"/>
  <c r="U33" i="1"/>
  <c r="Y33" i="1"/>
  <c r="AC33" i="1"/>
  <c r="AJ33" i="1"/>
  <c r="AX33" i="1"/>
  <c r="AY33" i="1"/>
  <c r="R34" i="1"/>
  <c r="U34" i="1"/>
  <c r="AC34" i="1"/>
  <c r="AJ34" i="1"/>
  <c r="AX34" i="1"/>
  <c r="AY34" i="1"/>
  <c r="R35" i="1"/>
  <c r="U35" i="1"/>
  <c r="Y35" i="1"/>
  <c r="AC35" i="1"/>
  <c r="AJ35" i="1"/>
  <c r="AX35" i="1"/>
  <c r="AY35" i="1" s="1"/>
  <c r="R36" i="1"/>
  <c r="U36" i="1"/>
  <c r="AC36" i="1"/>
  <c r="AJ36" i="1"/>
  <c r="AY36" i="1"/>
  <c r="R37" i="1"/>
  <c r="U37" i="1"/>
  <c r="AC37" i="1"/>
  <c r="AJ37" i="1"/>
  <c r="AY37" i="1"/>
  <c r="R38" i="1"/>
  <c r="U38" i="1"/>
  <c r="AC38" i="1"/>
  <c r="AJ38" i="1"/>
  <c r="AX38" i="1"/>
  <c r="AY38" i="1" s="1"/>
  <c r="R39" i="1"/>
  <c r="U39" i="1"/>
  <c r="Y39" i="1"/>
  <c r="AC39" i="1"/>
  <c r="AJ39" i="1"/>
  <c r="AX39" i="1"/>
  <c r="AY39" i="1"/>
  <c r="R40" i="1"/>
  <c r="U40" i="1"/>
  <c r="AC40" i="1"/>
  <c r="AJ40" i="1"/>
  <c r="AY40" i="1"/>
  <c r="R41" i="1"/>
  <c r="U41" i="1"/>
  <c r="Y41" i="1"/>
  <c r="AC41" i="1"/>
  <c r="AJ41" i="1"/>
  <c r="AY41" i="1"/>
  <c r="R42" i="1"/>
  <c r="U42" i="1"/>
  <c r="AC42" i="1"/>
  <c r="AJ42" i="1"/>
  <c r="AY42" i="1"/>
  <c r="Q43" i="1"/>
  <c r="Q9" i="1" s="1"/>
  <c r="R43" i="1"/>
  <c r="U43" i="1"/>
  <c r="AC43" i="1"/>
  <c r="AJ43" i="1"/>
  <c r="AY43" i="1"/>
  <c r="R44" i="1"/>
  <c r="U44" i="1"/>
  <c r="Y44" i="1"/>
  <c r="AC44" i="1"/>
  <c r="AJ44" i="1"/>
  <c r="AX44" i="1"/>
  <c r="AY44" i="1" s="1"/>
  <c r="R45" i="1"/>
  <c r="U45" i="1"/>
  <c r="AC45" i="1"/>
  <c r="AJ45" i="1"/>
  <c r="AT45" i="1"/>
  <c r="AT9" i="1" s="1"/>
  <c r="R46" i="1"/>
  <c r="U46" i="1"/>
  <c r="Y46" i="1"/>
  <c r="AC46" i="1"/>
  <c r="AJ46" i="1"/>
  <c r="AX46" i="1"/>
  <c r="AY46" i="1"/>
  <c r="R47" i="1"/>
  <c r="U47" i="1"/>
  <c r="AC47" i="1"/>
  <c r="AJ47" i="1"/>
  <c r="AX47" i="1"/>
  <c r="AY47" i="1"/>
  <c r="R48" i="1"/>
  <c r="U48" i="1"/>
  <c r="Y48" i="1"/>
  <c r="AC48" i="1"/>
  <c r="AJ48" i="1"/>
  <c r="AV48" i="1"/>
  <c r="AV9" i="1" s="1"/>
  <c r="R49" i="1"/>
  <c r="U49" i="1"/>
  <c r="AC49" i="1"/>
  <c r="AJ49" i="1"/>
  <c r="AY49" i="1"/>
  <c r="R50" i="1"/>
  <c r="U50" i="1"/>
  <c r="Y50" i="1"/>
  <c r="AC50" i="1"/>
  <c r="AJ50" i="1"/>
  <c r="AY50" i="1"/>
  <c r="R51" i="1"/>
  <c r="U51" i="1"/>
  <c r="AC51" i="1"/>
  <c r="AJ51" i="1"/>
  <c r="AY51" i="1"/>
  <c r="R52" i="1"/>
  <c r="U52" i="1"/>
  <c r="AC52" i="1"/>
  <c r="AJ52" i="1"/>
  <c r="AY52" i="1"/>
  <c r="R53" i="1"/>
  <c r="U53" i="1"/>
  <c r="AC53" i="1"/>
  <c r="AJ53" i="1"/>
  <c r="AY53" i="1"/>
  <c r="R54" i="1"/>
  <c r="U54" i="1"/>
  <c r="AC54" i="1"/>
  <c r="AJ54" i="1"/>
  <c r="AY54" i="1"/>
  <c r="N55" i="1"/>
  <c r="N9" i="1" s="1"/>
  <c r="R55" i="1"/>
  <c r="U55" i="1"/>
  <c r="Y55" i="1"/>
  <c r="AC55" i="1"/>
  <c r="AJ55" i="1"/>
  <c r="AX55" i="1"/>
  <c r="AY55" i="1"/>
  <c r="R56" i="1"/>
  <c r="U56" i="1"/>
  <c r="AC56" i="1"/>
  <c r="AJ56" i="1"/>
  <c r="AY56" i="1"/>
  <c r="R57" i="1"/>
  <c r="U57" i="1"/>
  <c r="AC57" i="1"/>
  <c r="AJ57" i="1"/>
  <c r="AY57" i="1"/>
  <c r="R58" i="1"/>
  <c r="U58" i="1"/>
  <c r="Y58" i="1"/>
  <c r="AC58" i="1"/>
  <c r="AJ58" i="1"/>
  <c r="AY58" i="1"/>
  <c r="R59" i="1"/>
  <c r="U59" i="1"/>
  <c r="AC59" i="1"/>
  <c r="AJ59" i="1"/>
  <c r="AY59" i="1"/>
  <c r="R60" i="1"/>
  <c r="U60" i="1"/>
  <c r="AC60" i="1"/>
  <c r="AJ60" i="1"/>
  <c r="AX60" i="1"/>
  <c r="AY60" i="1" s="1"/>
  <c r="R61" i="1"/>
  <c r="U61" i="1"/>
  <c r="Y61" i="1"/>
  <c r="AC61" i="1"/>
  <c r="AJ61" i="1"/>
  <c r="AX61" i="1"/>
  <c r="AY61" i="1"/>
  <c r="R62" i="1"/>
  <c r="U62" i="1"/>
  <c r="AC62" i="1"/>
  <c r="AJ62" i="1"/>
  <c r="AL62" i="1"/>
  <c r="AL9" i="1" s="1"/>
  <c r="AX62" i="1"/>
  <c r="AY62" i="1" s="1"/>
  <c r="R63" i="1"/>
  <c r="U63" i="1"/>
  <c r="AC63" i="1"/>
  <c r="AJ63" i="1"/>
  <c r="AX63" i="1"/>
  <c r="AY63" i="1" s="1"/>
  <c r="R64" i="1"/>
  <c r="U64" i="1"/>
  <c r="AC64" i="1"/>
  <c r="AJ64" i="1"/>
  <c r="AX64" i="1"/>
  <c r="AY64" i="1" s="1"/>
  <c r="R65" i="1"/>
  <c r="U65" i="1"/>
  <c r="Y65" i="1"/>
  <c r="AC65" i="1"/>
  <c r="AJ65" i="1"/>
  <c r="AY65" i="1"/>
  <c r="R66" i="1"/>
  <c r="U66" i="1"/>
  <c r="AC66" i="1"/>
  <c r="AJ66" i="1"/>
  <c r="AY66" i="1"/>
  <c r="R67" i="1"/>
  <c r="U67" i="1"/>
  <c r="AC67" i="1"/>
  <c r="AJ67" i="1"/>
  <c r="AX67" i="1"/>
  <c r="AY67" i="1"/>
  <c r="R68" i="1"/>
  <c r="U68" i="1"/>
  <c r="AC68" i="1"/>
  <c r="AJ68" i="1"/>
  <c r="AY68" i="1"/>
  <c r="R69" i="1"/>
  <c r="U69" i="1"/>
  <c r="Y69" i="1"/>
  <c r="AC69" i="1"/>
  <c r="AJ69" i="1"/>
  <c r="AY69" i="1"/>
  <c r="R70" i="1"/>
  <c r="U70" i="1"/>
  <c r="AC70" i="1"/>
  <c r="AJ70" i="1"/>
  <c r="AY70" i="1"/>
  <c r="K71" i="1"/>
  <c r="Q71" i="1"/>
  <c r="J71" i="1" s="1"/>
  <c r="R71" i="1"/>
  <c r="U71" i="1"/>
  <c r="AC71" i="1"/>
  <c r="AJ71" i="1"/>
  <c r="AY71" i="1"/>
  <c r="Q72" i="1"/>
  <c r="R72" i="1"/>
  <c r="U72" i="1"/>
  <c r="Y72" i="1"/>
  <c r="AC72" i="1"/>
  <c r="AJ72" i="1"/>
  <c r="AY72" i="1"/>
  <c r="R73" i="1"/>
  <c r="U73" i="1"/>
  <c r="AC73" i="1"/>
  <c r="AJ73" i="1"/>
  <c r="AY73" i="1"/>
  <c r="R74" i="1"/>
  <c r="U74" i="1"/>
  <c r="AC74" i="1"/>
  <c r="AJ74" i="1"/>
  <c r="AY74" i="1"/>
  <c r="R75" i="1"/>
  <c r="U75" i="1"/>
  <c r="AC75" i="1"/>
  <c r="AJ75" i="1"/>
  <c r="AY75" i="1"/>
  <c r="R76" i="1"/>
  <c r="U76" i="1"/>
  <c r="AC76" i="1"/>
  <c r="AJ76" i="1"/>
  <c r="AY76" i="1"/>
  <c r="Q77" i="1"/>
  <c r="K77" i="1" s="1"/>
  <c r="R77" i="1"/>
  <c r="U77" i="1"/>
  <c r="AC77" i="1"/>
  <c r="AJ77" i="1"/>
  <c r="AY77" i="1"/>
  <c r="R78" i="1"/>
  <c r="U78" i="1"/>
  <c r="AC78" i="1"/>
  <c r="AJ78" i="1"/>
  <c r="AY78" i="1"/>
  <c r="R79" i="1"/>
  <c r="U79" i="1"/>
  <c r="AC79" i="1"/>
  <c r="AJ79" i="1"/>
  <c r="AY79" i="1"/>
  <c r="R80" i="1"/>
  <c r="U80" i="1"/>
  <c r="Y80" i="1"/>
  <c r="AC80" i="1"/>
  <c r="AJ80" i="1"/>
  <c r="AX80" i="1"/>
  <c r="AY80" i="1"/>
  <c r="R81" i="1"/>
  <c r="U81" i="1"/>
  <c r="AC81" i="1"/>
  <c r="AJ81" i="1"/>
  <c r="AY81" i="1"/>
  <c r="R82" i="1"/>
  <c r="U82" i="1"/>
  <c r="Y82" i="1"/>
  <c r="AC82" i="1"/>
  <c r="AJ82" i="1"/>
  <c r="AY82" i="1"/>
  <c r="R83" i="1"/>
  <c r="U83" i="1"/>
  <c r="Y83" i="1"/>
  <c r="AC83" i="1"/>
  <c r="AJ83" i="1"/>
  <c r="AY83" i="1"/>
  <c r="R84" i="1"/>
  <c r="U84" i="1"/>
  <c r="Y84" i="1"/>
  <c r="AC84" i="1"/>
  <c r="AJ84" i="1"/>
  <c r="AV84" i="1"/>
  <c r="AX84" i="1"/>
  <c r="AY84" i="1" s="1"/>
  <c r="R85" i="1"/>
  <c r="U85" i="1"/>
  <c r="Y85" i="1"/>
  <c r="AC85" i="1"/>
  <c r="AJ85" i="1"/>
  <c r="AX85" i="1"/>
  <c r="AY85" i="1"/>
  <c r="R86" i="1"/>
  <c r="U86" i="1"/>
  <c r="Y86" i="1"/>
  <c r="AC86" i="1"/>
  <c r="AJ86" i="1"/>
  <c r="AY86" i="1"/>
  <c r="R87" i="1"/>
  <c r="U87" i="1"/>
  <c r="Y87" i="1"/>
  <c r="AC87" i="1"/>
  <c r="AJ87" i="1"/>
  <c r="AY87" i="1"/>
  <c r="R88" i="1"/>
  <c r="U88" i="1"/>
  <c r="Y88" i="1"/>
  <c r="AC88" i="1"/>
  <c r="AJ88" i="1"/>
  <c r="AX88" i="1"/>
  <c r="AY88" i="1" s="1"/>
  <c r="R89" i="1"/>
  <c r="U89" i="1"/>
  <c r="AC89" i="1"/>
  <c r="AJ89" i="1"/>
  <c r="AX89" i="1"/>
  <c r="AY89" i="1" s="1"/>
  <c r="R90" i="1"/>
  <c r="U90" i="1"/>
  <c r="AC90" i="1"/>
  <c r="AJ90" i="1"/>
  <c r="AY90" i="1"/>
  <c r="R91" i="1"/>
  <c r="U91" i="1"/>
  <c r="Y91" i="1"/>
  <c r="AC91" i="1"/>
  <c r="AJ91" i="1"/>
  <c r="AY91" i="1"/>
  <c r="R92" i="1"/>
  <c r="AC92" i="1"/>
  <c r="AJ92" i="1"/>
  <c r="AY92" i="1"/>
  <c r="R93" i="1"/>
  <c r="U93" i="1"/>
  <c r="Y93" i="1"/>
  <c r="AC93" i="1"/>
  <c r="AJ93" i="1"/>
  <c r="AY93" i="1"/>
  <c r="R94" i="1"/>
  <c r="U94" i="1"/>
  <c r="Y94" i="1"/>
  <c r="AC94" i="1"/>
  <c r="AJ94" i="1"/>
  <c r="AY94" i="1"/>
  <c r="R95" i="1"/>
  <c r="U95" i="1"/>
  <c r="AC95" i="1"/>
  <c r="AJ95" i="1"/>
  <c r="AY95" i="1"/>
  <c r="R96" i="1"/>
  <c r="U96" i="1"/>
  <c r="AC96" i="1"/>
  <c r="AJ96" i="1"/>
  <c r="AY96" i="1"/>
  <c r="R97" i="1"/>
  <c r="U97" i="1"/>
  <c r="Y97" i="1"/>
  <c r="AC97" i="1"/>
  <c r="AJ97" i="1"/>
  <c r="AY97" i="1"/>
  <c r="R98" i="1"/>
  <c r="U98" i="1"/>
  <c r="AC98" i="1"/>
  <c r="AJ98" i="1"/>
  <c r="AX98" i="1"/>
  <c r="AY98" i="1"/>
  <c r="R99" i="1"/>
  <c r="U99" i="1"/>
  <c r="Y99" i="1"/>
  <c r="AC99" i="1"/>
  <c r="AJ99" i="1"/>
  <c r="AY99" i="1"/>
  <c r="R100" i="1"/>
  <c r="U100" i="1"/>
  <c r="Y100" i="1"/>
  <c r="AC100" i="1"/>
  <c r="AJ100" i="1"/>
  <c r="AY100" i="1"/>
  <c r="R101" i="1"/>
  <c r="U101" i="1"/>
  <c r="Y101" i="1"/>
  <c r="AC101" i="1"/>
  <c r="AJ101" i="1"/>
  <c r="AX101" i="1"/>
  <c r="AY101" i="1" s="1"/>
  <c r="R102" i="1"/>
  <c r="U102" i="1"/>
  <c r="Y102" i="1"/>
  <c r="AC102" i="1"/>
  <c r="AJ102" i="1"/>
  <c r="AL102" i="1"/>
  <c r="AX102" i="1"/>
  <c r="AY102" i="1" s="1"/>
  <c r="R103" i="1"/>
  <c r="U103" i="1"/>
  <c r="Y103" i="1"/>
  <c r="AC103" i="1"/>
  <c r="AJ103" i="1"/>
  <c r="AX103" i="1"/>
  <c r="AY103" i="1"/>
  <c r="R104" i="1"/>
  <c r="U104" i="1"/>
  <c r="AC104" i="1"/>
  <c r="AJ104" i="1"/>
  <c r="AX104" i="1"/>
  <c r="AY104" i="1"/>
  <c r="R105" i="1"/>
  <c r="U105" i="1"/>
  <c r="Y105" i="1"/>
  <c r="AC105" i="1"/>
  <c r="AJ105" i="1"/>
  <c r="AX105" i="1"/>
  <c r="AY105" i="1" s="1"/>
  <c r="R106" i="1"/>
  <c r="U106" i="1"/>
  <c r="Y106" i="1"/>
  <c r="AC106" i="1"/>
  <c r="AJ106" i="1"/>
  <c r="AX106" i="1"/>
  <c r="AY106" i="1"/>
  <c r="R107" i="1"/>
  <c r="U107" i="1"/>
  <c r="Y107" i="1"/>
  <c r="AC107" i="1"/>
  <c r="AJ107" i="1"/>
  <c r="AY107" i="1"/>
  <c r="R108" i="1"/>
  <c r="U108" i="1"/>
  <c r="Y108" i="1"/>
  <c r="AC108" i="1"/>
  <c r="AJ108" i="1"/>
  <c r="AY108" i="1"/>
  <c r="R109" i="1"/>
  <c r="Y109" i="1"/>
  <c r="AC109" i="1"/>
  <c r="AJ109" i="1"/>
  <c r="AY109" i="1"/>
  <c r="R110" i="1"/>
  <c r="U110" i="1"/>
  <c r="Y110" i="1"/>
  <c r="AC110" i="1"/>
  <c r="AJ110" i="1"/>
  <c r="AY110" i="1"/>
  <c r="R111" i="1"/>
  <c r="U111" i="1"/>
  <c r="AC111" i="1"/>
  <c r="AJ111" i="1"/>
  <c r="AX111" i="1"/>
  <c r="AY111" i="1" s="1"/>
  <c r="R112" i="1"/>
  <c r="U112" i="1"/>
  <c r="Y112" i="1"/>
  <c r="AC112" i="1"/>
  <c r="AJ112" i="1"/>
  <c r="AY112" i="1"/>
  <c r="R113" i="1"/>
  <c r="Y113" i="1"/>
  <c r="AC113" i="1"/>
  <c r="AJ113" i="1"/>
  <c r="AY113" i="1"/>
  <c r="R114" i="1"/>
  <c r="Y114" i="1"/>
  <c r="AC114" i="1"/>
  <c r="AJ114" i="1"/>
  <c r="AX114" i="1"/>
  <c r="AY114" i="1"/>
  <c r="R115" i="1"/>
  <c r="U115" i="1"/>
  <c r="AC115" i="1"/>
  <c r="AJ115" i="1"/>
  <c r="AY115" i="1"/>
  <c r="R116" i="1"/>
  <c r="U116" i="1"/>
  <c r="AC116" i="1"/>
  <c r="AJ116" i="1"/>
  <c r="AY116" i="1"/>
  <c r="R117" i="1"/>
  <c r="U117" i="1"/>
  <c r="AC117" i="1"/>
  <c r="AJ117" i="1"/>
  <c r="AY117" i="1"/>
  <c r="R118" i="1"/>
  <c r="U118" i="1"/>
  <c r="Y118" i="1"/>
  <c r="AC118" i="1"/>
  <c r="AJ118" i="1"/>
  <c r="AY118" i="1"/>
  <c r="R119" i="1"/>
  <c r="U119" i="1"/>
  <c r="Y119" i="1"/>
  <c r="AC119" i="1"/>
  <c r="AJ119" i="1"/>
  <c r="AX119" i="1"/>
  <c r="AY119" i="1"/>
  <c r="R120" i="1"/>
  <c r="AC120" i="1"/>
  <c r="AJ120" i="1"/>
  <c r="AX120" i="1"/>
  <c r="AY120" i="1" s="1"/>
  <c r="R121" i="1"/>
  <c r="U121" i="1"/>
  <c r="AC121" i="1"/>
  <c r="AJ121" i="1"/>
  <c r="AX121" i="1"/>
  <c r="AY121" i="1" s="1"/>
  <c r="Q122" i="1"/>
  <c r="R122" i="1"/>
  <c r="U122" i="1"/>
  <c r="AC122" i="1"/>
  <c r="AJ122" i="1"/>
  <c r="AX122" i="1"/>
  <c r="AY122" i="1"/>
  <c r="R123" i="1"/>
  <c r="U123" i="1"/>
  <c r="AC123" i="1"/>
  <c r="AJ123" i="1"/>
  <c r="AX123" i="1"/>
  <c r="AY123" i="1"/>
  <c r="R124" i="1"/>
  <c r="U124" i="1"/>
  <c r="Y124" i="1"/>
  <c r="AC124" i="1"/>
  <c r="AJ124" i="1"/>
  <c r="AY124" i="1"/>
  <c r="R125" i="1"/>
  <c r="U125" i="1"/>
  <c r="AC125" i="1"/>
  <c r="AJ125" i="1"/>
  <c r="AX125" i="1"/>
  <c r="AY125" i="1"/>
  <c r="R126" i="1"/>
  <c r="U126" i="1"/>
  <c r="AC126" i="1"/>
  <c r="AJ126" i="1"/>
  <c r="AY126" i="1"/>
  <c r="R127" i="1"/>
  <c r="U127" i="1"/>
  <c r="AC127" i="1"/>
  <c r="AJ127" i="1"/>
  <c r="AX127" i="1"/>
  <c r="AY127" i="1" s="1"/>
  <c r="R128" i="1"/>
  <c r="U128" i="1"/>
  <c r="AC128" i="1"/>
  <c r="AJ128" i="1"/>
  <c r="AX128" i="1"/>
  <c r="AY128" i="1" s="1"/>
  <c r="H129" i="1"/>
  <c r="H9" i="1" s="1"/>
  <c r="O129" i="1"/>
  <c r="O10" i="1" s="1"/>
  <c r="R129" i="1"/>
  <c r="U129" i="1"/>
  <c r="AG129" i="1"/>
  <c r="AG10" i="1" s="1"/>
  <c r="AH129" i="1"/>
  <c r="AH9" i="1" s="1"/>
  <c r="AJ129" i="1"/>
  <c r="AY129" i="1"/>
  <c r="AZ129" i="1"/>
  <c r="AZ9" i="1" s="1"/>
  <c r="R130" i="1"/>
  <c r="U130" i="1"/>
  <c r="AC130" i="1"/>
  <c r="AJ130" i="1"/>
  <c r="AY130" i="1"/>
  <c r="R131" i="1"/>
  <c r="U131" i="1"/>
  <c r="AC131" i="1"/>
  <c r="AJ131" i="1"/>
  <c r="AY131" i="1"/>
  <c r="R132" i="1"/>
  <c r="U132" i="1"/>
  <c r="AC132" i="1"/>
  <c r="AJ132" i="1"/>
  <c r="AY132" i="1"/>
  <c r="R133" i="1"/>
  <c r="U133" i="1"/>
  <c r="AC133" i="1"/>
  <c r="AJ133" i="1"/>
  <c r="AY133" i="1"/>
  <c r="R134" i="1"/>
  <c r="U134" i="1"/>
  <c r="AC134" i="1"/>
  <c r="AJ134" i="1"/>
  <c r="AY134" i="1"/>
  <c r="R135" i="1"/>
  <c r="U135" i="1"/>
  <c r="AC135" i="1"/>
  <c r="AJ135" i="1"/>
  <c r="AX135" i="1"/>
  <c r="R136" i="1"/>
  <c r="U136" i="1"/>
  <c r="AC136" i="1"/>
  <c r="AJ136" i="1"/>
  <c r="AY136" i="1"/>
  <c r="R137" i="1"/>
  <c r="U137" i="1"/>
  <c r="AC137" i="1"/>
  <c r="AJ137" i="1"/>
  <c r="AX137" i="1"/>
  <c r="AY137" i="1" s="1"/>
  <c r="R138" i="1"/>
  <c r="AC138" i="1"/>
  <c r="AJ138" i="1"/>
  <c r="AX138" i="1"/>
  <c r="AY138" i="1"/>
  <c r="R139" i="1"/>
  <c r="U139" i="1"/>
  <c r="Y139" i="1"/>
  <c r="AC139" i="1"/>
  <c r="AJ139" i="1"/>
  <c r="AY139" i="1"/>
  <c r="R140" i="1"/>
  <c r="U140" i="1"/>
  <c r="AC140" i="1"/>
  <c r="AJ140" i="1"/>
  <c r="AY140" i="1"/>
  <c r="R141" i="1"/>
  <c r="U141" i="1"/>
  <c r="AC141" i="1"/>
  <c r="AJ141" i="1"/>
  <c r="AX141" i="1"/>
  <c r="AY141" i="1" s="1"/>
  <c r="R142" i="1"/>
  <c r="U142" i="1"/>
  <c r="Y142" i="1"/>
  <c r="AC142" i="1"/>
  <c r="AJ142" i="1"/>
  <c r="AX142" i="1"/>
  <c r="AY142" i="1"/>
  <c r="R143" i="1"/>
  <c r="U143" i="1"/>
  <c r="Y143" i="1"/>
  <c r="AC143" i="1"/>
  <c r="AJ143" i="1"/>
  <c r="AX143" i="1"/>
  <c r="AY143" i="1" s="1"/>
  <c r="R144" i="1"/>
  <c r="U144" i="1"/>
  <c r="AC144" i="1"/>
  <c r="AJ144" i="1"/>
  <c r="AY144" i="1"/>
  <c r="R145" i="1"/>
  <c r="U145" i="1"/>
  <c r="AC145" i="1"/>
  <c r="AJ145" i="1"/>
  <c r="AX145" i="1"/>
  <c r="AY145" i="1"/>
  <c r="R146" i="1"/>
  <c r="U146" i="1"/>
  <c r="AC146" i="1"/>
  <c r="AJ146" i="1"/>
  <c r="AY146" i="1"/>
  <c r="Q147" i="1"/>
  <c r="U147" i="1"/>
  <c r="AC147" i="1"/>
  <c r="AJ147" i="1"/>
  <c r="AY147" i="1"/>
  <c r="R148" i="1"/>
  <c r="U148" i="1"/>
  <c r="AC148" i="1"/>
  <c r="AJ148" i="1"/>
  <c r="AX148" i="1"/>
  <c r="AY148" i="1"/>
  <c r="R149" i="1"/>
  <c r="U149" i="1"/>
  <c r="Y149" i="1"/>
  <c r="AC149" i="1"/>
  <c r="AJ149" i="1"/>
  <c r="AY149" i="1"/>
  <c r="Q150" i="1"/>
  <c r="R150" i="1"/>
  <c r="U150" i="1"/>
  <c r="AC150" i="1"/>
  <c r="AJ150" i="1"/>
  <c r="AX150" i="1"/>
  <c r="AY150" i="1" s="1"/>
  <c r="R151" i="1"/>
  <c r="U151" i="1"/>
  <c r="AC151" i="1"/>
  <c r="AJ151" i="1"/>
  <c r="AY151" i="1"/>
  <c r="R152" i="1"/>
  <c r="U152" i="1"/>
  <c r="Y152" i="1"/>
  <c r="AC152" i="1"/>
  <c r="AJ152" i="1"/>
  <c r="AX152" i="1"/>
  <c r="AY152" i="1" s="1"/>
  <c r="R153" i="1"/>
  <c r="U153" i="1"/>
  <c r="AC153" i="1"/>
  <c r="AJ153" i="1"/>
  <c r="AX153" i="1"/>
  <c r="AY153" i="1" s="1"/>
  <c r="U154" i="1"/>
  <c r="Y154" i="1"/>
  <c r="AC154" i="1"/>
  <c r="AJ154" i="1"/>
  <c r="AY154" i="1"/>
  <c r="R155" i="1"/>
  <c r="U155" i="1"/>
  <c r="Y155" i="1"/>
  <c r="AC155" i="1"/>
  <c r="AJ155" i="1"/>
  <c r="AX155" i="1"/>
  <c r="AY155" i="1" s="1"/>
  <c r="R156" i="1"/>
  <c r="U156" i="1"/>
  <c r="Y156" i="1"/>
  <c r="AC156" i="1"/>
  <c r="AJ156" i="1"/>
  <c r="AY156" i="1"/>
  <c r="R157" i="1"/>
  <c r="U157" i="1"/>
  <c r="AC157" i="1"/>
  <c r="AJ157" i="1"/>
  <c r="AY157" i="1"/>
  <c r="AC158" i="1"/>
  <c r="AJ158" i="1"/>
  <c r="AY158" i="1"/>
  <c r="H159" i="1"/>
  <c r="R159" i="1"/>
  <c r="T159" i="1"/>
  <c r="T9" i="1" s="1"/>
  <c r="U159" i="1"/>
  <c r="AC159" i="1"/>
  <c r="AJ159" i="1"/>
  <c r="AY159" i="1"/>
  <c r="R160" i="1"/>
  <c r="U160" i="1"/>
  <c r="AC160" i="1"/>
  <c r="AJ160" i="1"/>
  <c r="AY160" i="1"/>
  <c r="R161" i="1"/>
  <c r="U161" i="1"/>
  <c r="AC161" i="1"/>
  <c r="AJ161" i="1"/>
  <c r="AY161" i="1"/>
  <c r="R162" i="1"/>
  <c r="U162" i="1"/>
  <c r="AC162" i="1"/>
  <c r="AJ162" i="1"/>
  <c r="AX162" i="1"/>
  <c r="AY162" i="1"/>
  <c r="R163" i="1"/>
  <c r="U163" i="1"/>
  <c r="AC163" i="1"/>
  <c r="AJ163" i="1"/>
  <c r="AY163" i="1"/>
  <c r="R164" i="1"/>
  <c r="U164" i="1"/>
  <c r="AC164" i="1"/>
  <c r="AJ164" i="1"/>
  <c r="AX164" i="1"/>
  <c r="AY164" i="1" s="1"/>
  <c r="R165" i="1"/>
  <c r="U165" i="1"/>
  <c r="Y165" i="1"/>
  <c r="AC165" i="1"/>
  <c r="AJ165" i="1"/>
  <c r="AY165" i="1"/>
  <c r="R166" i="1"/>
  <c r="U166" i="1"/>
  <c r="AC166" i="1"/>
  <c r="AJ166" i="1"/>
  <c r="AY166" i="1"/>
  <c r="R167" i="1"/>
  <c r="U167" i="1"/>
  <c r="AC167" i="1"/>
  <c r="AJ167" i="1"/>
  <c r="AX167" i="1"/>
  <c r="AY167" i="1"/>
  <c r="R168" i="1"/>
  <c r="Y168" i="1"/>
  <c r="AC168" i="1"/>
  <c r="AJ168" i="1"/>
  <c r="AY168" i="1"/>
  <c r="R169" i="1"/>
  <c r="U169" i="1"/>
  <c r="Y169" i="1"/>
  <c r="AC169" i="1"/>
  <c r="AJ169" i="1"/>
  <c r="AX169" i="1"/>
  <c r="AY169" i="1"/>
  <c r="R170" i="1"/>
  <c r="U170" i="1"/>
  <c r="AC170" i="1"/>
  <c r="AJ170" i="1"/>
  <c r="AX170" i="1"/>
  <c r="AY170" i="1"/>
  <c r="R171" i="1"/>
  <c r="U171" i="1"/>
  <c r="Y171" i="1"/>
  <c r="AC171" i="1"/>
  <c r="AJ171" i="1"/>
  <c r="AQ171" i="1"/>
  <c r="AQ9" i="1" s="1"/>
  <c r="AX171" i="1"/>
  <c r="AY171" i="1"/>
  <c r="R172" i="1"/>
  <c r="U172" i="1"/>
  <c r="AC172" i="1"/>
  <c r="AJ172" i="1"/>
  <c r="AY172" i="1"/>
  <c r="R173" i="1"/>
  <c r="U173" i="1"/>
  <c r="Y173" i="1"/>
  <c r="AC173" i="1"/>
  <c r="AJ173" i="1"/>
  <c r="AY173" i="1"/>
  <c r="R174" i="1"/>
  <c r="U174" i="1"/>
  <c r="AC174" i="1"/>
  <c r="AJ174" i="1"/>
  <c r="AY174" i="1"/>
  <c r="R175" i="1"/>
  <c r="U175" i="1"/>
  <c r="AC175" i="1"/>
  <c r="AJ175" i="1"/>
  <c r="AY175" i="1"/>
  <c r="R176" i="1"/>
  <c r="U176" i="1"/>
  <c r="Y176" i="1"/>
  <c r="AC176" i="1"/>
  <c r="AJ176" i="1"/>
  <c r="AY176" i="1"/>
  <c r="R177" i="1"/>
  <c r="U177" i="1"/>
  <c r="AC177" i="1"/>
  <c r="AJ177" i="1"/>
  <c r="AY177" i="1"/>
  <c r="R178" i="1"/>
  <c r="U178" i="1"/>
  <c r="AC178" i="1"/>
  <c r="AJ178" i="1"/>
  <c r="AY178" i="1"/>
  <c r="R179" i="1"/>
  <c r="U179" i="1"/>
  <c r="Y179" i="1"/>
  <c r="AC179" i="1"/>
  <c r="AJ179" i="1"/>
  <c r="AX179" i="1"/>
  <c r="AY179" i="1"/>
  <c r="R180" i="1"/>
  <c r="AC180" i="1"/>
  <c r="AJ180" i="1"/>
  <c r="AY180" i="1"/>
  <c r="R181" i="1"/>
  <c r="U181" i="1"/>
  <c r="AC181" i="1"/>
  <c r="AJ181" i="1"/>
  <c r="AX181" i="1"/>
  <c r="AY181" i="1"/>
  <c r="R182" i="1"/>
  <c r="U182" i="1"/>
  <c r="AC182" i="1"/>
  <c r="AJ182" i="1"/>
  <c r="AY182" i="1"/>
  <c r="K10" i="1" l="1"/>
  <c r="J10" i="1"/>
  <c r="J77" i="1"/>
  <c r="J9" i="1" s="1"/>
  <c r="AQ10" i="1"/>
  <c r="AH10" i="1"/>
  <c r="AJ9" i="1" s="1"/>
  <c r="T10" i="1"/>
  <c r="Q10" i="1"/>
  <c r="N10" i="1"/>
  <c r="H10" i="1"/>
  <c r="AG9" i="1"/>
  <c r="AC9" i="1"/>
  <c r="Y9" i="1"/>
  <c r="U9" i="1"/>
  <c r="O9" i="1"/>
  <c r="K9" i="1"/>
  <c r="AY48" i="1"/>
  <c r="AY45" i="1"/>
  <c r="AY10" i="1" s="1"/>
  <c r="AZ10" i="1"/>
  <c r="AX10" i="1"/>
  <c r="AV10" i="1"/>
  <c r="AT10" i="1"/>
  <c r="AL10" i="1"/>
  <c r="AY9" i="1" l="1"/>
</calcChain>
</file>

<file path=xl/sharedStrings.xml><?xml version="1.0" encoding="utf-8"?>
<sst xmlns="http://schemas.openxmlformats.org/spreadsheetml/2006/main" count="1483" uniqueCount="655">
  <si>
    <t/>
  </si>
  <si>
    <t xml:space="preserve">  </t>
  </si>
  <si>
    <t xml:space="preserve">            EMPLOYEE EXPENSES</t>
  </si>
  <si>
    <t xml:space="preserve">    PAYOUT TO NONPRIORITY UNSECUREDS</t>
  </si>
  <si>
    <t xml:space="preserve"> CHAPTER  13  STANDING TRUSTEE</t>
  </si>
  <si>
    <t xml:space="preserve"> Marion</t>
  </si>
  <si>
    <t>#CASES</t>
  </si>
  <si>
    <t>$ FEES</t>
  </si>
  <si>
    <t>% EXP.</t>
  </si>
  <si>
    <t>% FEE</t>
  </si>
  <si>
    <t>(ANNUAL REPORT)</t>
  </si>
  <si>
    <t>_NBSTARTMACRO</t>
  </si>
  <si>
    <t>{FILESAVE}</t>
  </si>
  <si>
    <t>&gt; 60 MOS.</t>
  </si>
  <si>
    <t>0%</t>
  </si>
  <si>
    <t>1-39%</t>
  </si>
  <si>
    <t>40%-69%</t>
  </si>
  <si>
    <t>503(b) AWD</t>
  </si>
  <si>
    <t>70% or more</t>
  </si>
  <si>
    <t>ACCTG</t>
  </si>
  <si>
    <t>ACCUM.</t>
  </si>
  <si>
    <t>ACTIVE</t>
  </si>
  <si>
    <t>ACTUAL</t>
  </si>
  <si>
    <t>ADJUST.</t>
  </si>
  <si>
    <t>Aikman</t>
  </si>
  <si>
    <t>AK</t>
  </si>
  <si>
    <t>Akron</t>
  </si>
  <si>
    <t>Alaska</t>
  </si>
  <si>
    <t>Albany</t>
  </si>
  <si>
    <t>Albert</t>
  </si>
  <si>
    <t>Albuquerque</t>
  </si>
  <si>
    <t>Alexandria</t>
  </si>
  <si>
    <t>ALLOC.</t>
  </si>
  <si>
    <t>ALLOC.\</t>
  </si>
  <si>
    <t>Amherst</t>
  </si>
  <si>
    <t>Amrane</t>
  </si>
  <si>
    <t>Anabelle</t>
  </si>
  <si>
    <t>Anchorage</t>
  </si>
  <si>
    <t>Andrea</t>
  </si>
  <si>
    <t>Andres'</t>
  </si>
  <si>
    <t>Ann</t>
  </si>
  <si>
    <t>Annette</t>
  </si>
  <si>
    <t>Anthony</t>
  </si>
  <si>
    <t>APPLIED</t>
  </si>
  <si>
    <t>APPROVED</t>
  </si>
  <si>
    <t>APPT.</t>
  </si>
  <si>
    <t>AR</t>
  </si>
  <si>
    <t>Arizona</t>
  </si>
  <si>
    <t>Arkansas</t>
  </si>
  <si>
    <t>Askenase</t>
  </si>
  <si>
    <t>Atlanta</t>
  </si>
  <si>
    <t>ATTY'S</t>
  </si>
  <si>
    <t>Augusta</t>
  </si>
  <si>
    <t>Austin</t>
  </si>
  <si>
    <t>AVG</t>
  </si>
  <si>
    <t>AZ</t>
  </si>
  <si>
    <t>BALANCE</t>
  </si>
  <si>
    <t>Baltimore</t>
  </si>
  <si>
    <t>Barbara</t>
  </si>
  <si>
    <t>Barkley</t>
  </si>
  <si>
    <t>Barkley, Jr.</t>
  </si>
  <si>
    <t>Barnee</t>
  </si>
  <si>
    <t>Barnesville</t>
  </si>
  <si>
    <t>Baton Rouge</t>
  </si>
  <si>
    <t>Baxter, Jr.</t>
  </si>
  <si>
    <t>Beaulieu</t>
  </si>
  <si>
    <t>BEGINN</t>
  </si>
  <si>
    <t>Bekofske</t>
  </si>
  <si>
    <t>Bell</t>
  </si>
  <si>
    <t>Bellville</t>
  </si>
  <si>
    <t>BENEFITS</t>
  </si>
  <si>
    <t>Benton</t>
  </si>
  <si>
    <t>Bernie</t>
  </si>
  <si>
    <t>Billingslea (15 MO)</t>
  </si>
  <si>
    <t>Black, Jr.</t>
  </si>
  <si>
    <t>Boise</t>
  </si>
  <si>
    <t>Bolenbaugh</t>
  </si>
  <si>
    <t>Bone</t>
  </si>
  <si>
    <t>Bonney</t>
  </si>
  <si>
    <t>BOOKKEEP/</t>
  </si>
  <si>
    <t>Boston</t>
  </si>
  <si>
    <t>Boudloche</t>
  </si>
  <si>
    <t>Bowers</t>
  </si>
  <si>
    <t>Bowie</t>
  </si>
  <si>
    <t>Boyajian</t>
  </si>
  <si>
    <t>Bracher</t>
  </si>
  <si>
    <t>Bradenton</t>
  </si>
  <si>
    <t>Brett</t>
  </si>
  <si>
    <t>Bristol</t>
  </si>
  <si>
    <t>Bronitsky</t>
  </si>
  <si>
    <t>Brothers</t>
  </si>
  <si>
    <t>Brown</t>
  </si>
  <si>
    <t>Brunner</t>
  </si>
  <si>
    <t>Brunswick</t>
  </si>
  <si>
    <t>Bryant</t>
  </si>
  <si>
    <t>Buffalo</t>
  </si>
  <si>
    <t>Burchard, Jr.</t>
  </si>
  <si>
    <t>Burks</t>
  </si>
  <si>
    <t>Butler, III</t>
  </si>
  <si>
    <t>C. Barry</t>
  </si>
  <si>
    <t>C. Kenneth</t>
  </si>
  <si>
    <t>CA</t>
  </si>
  <si>
    <t>California</t>
  </si>
  <si>
    <t>Camille</t>
  </si>
  <si>
    <t>Canton</t>
  </si>
  <si>
    <t>Carl</t>
  </si>
  <si>
    <t>Carol</t>
  </si>
  <si>
    <t>Carrollton</t>
  </si>
  <si>
    <t>CASES</t>
  </si>
  <si>
    <t>CASH TO</t>
  </si>
  <si>
    <t>Celli</t>
  </si>
  <si>
    <t>Central</t>
  </si>
  <si>
    <t>Chael</t>
  </si>
  <si>
    <t>Charles</t>
  </si>
  <si>
    <t>Charleston</t>
  </si>
  <si>
    <t>Charlottesville</t>
  </si>
  <si>
    <t>Chattanooga</t>
  </si>
  <si>
    <t>Chatterton</t>
  </si>
  <si>
    <t>Cheyenne</t>
  </si>
  <si>
    <t>Chicago</t>
  </si>
  <si>
    <t>CHILD PMTS</t>
  </si>
  <si>
    <t>Chrystler</t>
  </si>
  <si>
    <t>Cincinnati</t>
  </si>
  <si>
    <t>Cindy</t>
  </si>
  <si>
    <t>CITY</t>
  </si>
  <si>
    <t>Clark</t>
  </si>
  <si>
    <t>Cleveland</t>
  </si>
  <si>
    <t>CLOSED</t>
  </si>
  <si>
    <t>CO</t>
  </si>
  <si>
    <t>Coeur D'Alene</t>
  </si>
  <si>
    <t>Cohen</t>
  </si>
  <si>
    <t>Colorado</t>
  </si>
  <si>
    <t>Columbia</t>
  </si>
  <si>
    <t>Columbus</t>
  </si>
  <si>
    <t>COMP'N</t>
  </si>
  <si>
    <t>Compton</t>
  </si>
  <si>
    <t>COMPUTER</t>
  </si>
  <si>
    <t>CON-</t>
  </si>
  <si>
    <t>Connecticut</t>
  </si>
  <si>
    <t>CONSTR.</t>
  </si>
  <si>
    <t>CONTRIBUTION</t>
  </si>
  <si>
    <t>CONVERT.</t>
  </si>
  <si>
    <t>Coop</t>
  </si>
  <si>
    <t>Corpus Christi</t>
  </si>
  <si>
    <t>Cosby</t>
  </si>
  <si>
    <t>Craig</t>
  </si>
  <si>
    <t>Crawford</t>
  </si>
  <si>
    <t>CRED'R</t>
  </si>
  <si>
    <t>Crown Point</t>
  </si>
  <si>
    <t>CT</t>
  </si>
  <si>
    <t>Curry</t>
  </si>
  <si>
    <t>Cynthia</t>
  </si>
  <si>
    <t>Dallas</t>
  </si>
  <si>
    <t>Dan</t>
  </si>
  <si>
    <t>Daniel</t>
  </si>
  <si>
    <t>David</t>
  </si>
  <si>
    <t>Davidson</t>
  </si>
  <si>
    <t>Davis</t>
  </si>
  <si>
    <t>DC</t>
  </si>
  <si>
    <t>DE</t>
  </si>
  <si>
    <t>DEBTOR</t>
  </si>
  <si>
    <t>DEBTORS</t>
  </si>
  <si>
    <t>Decker</t>
  </si>
  <si>
    <t>DEFICIT</t>
  </si>
  <si>
    <t>DeHart, III</t>
  </si>
  <si>
    <t>Delaware</t>
  </si>
  <si>
    <t>Denise</t>
  </si>
  <si>
    <t>Denver</t>
  </si>
  <si>
    <t>Derham-Burk</t>
  </si>
  <si>
    <t>DeRosa</t>
  </si>
  <si>
    <t>Des Moines</t>
  </si>
  <si>
    <t>Devin</t>
  </si>
  <si>
    <t>Dianne</t>
  </si>
  <si>
    <t>Diaz (2 MONTHS)</t>
  </si>
  <si>
    <t>DiSalle</t>
  </si>
  <si>
    <t>DISBURS</t>
  </si>
  <si>
    <t>DISBURS.</t>
  </si>
  <si>
    <t>DISBURSE-</t>
  </si>
  <si>
    <t>DISBURSE.</t>
  </si>
  <si>
    <t>DISMISS.</t>
  </si>
  <si>
    <t>DISTRICT</t>
  </si>
  <si>
    <t>District of Columbia</t>
  </si>
  <si>
    <t>Donald</t>
  </si>
  <si>
    <t>Dowell</t>
  </si>
  <si>
    <t xml:space="preserve">Drewes </t>
  </si>
  <si>
    <t>Drummond</t>
  </si>
  <si>
    <t>Dunbar</t>
  </si>
  <si>
    <t>Dunivent</t>
  </si>
  <si>
    <t>Eastern</t>
  </si>
  <si>
    <t>Eastern and Western</t>
  </si>
  <si>
    <t>Eck</t>
  </si>
  <si>
    <t>Edward</t>
  </si>
  <si>
    <t>Edwina</t>
  </si>
  <si>
    <t>El Paso</t>
  </si>
  <si>
    <t>Ellen</t>
  </si>
  <si>
    <t>Emerson, Jr.</t>
  </si>
  <si>
    <t>EMPLOYER</t>
  </si>
  <si>
    <t>END FY97</t>
  </si>
  <si>
    <t>ENDING</t>
  </si>
  <si>
    <t>Englewood</t>
  </si>
  <si>
    <t>Enmark</t>
  </si>
  <si>
    <t>EQUIP/</t>
  </si>
  <si>
    <t>Eugene</t>
  </si>
  <si>
    <t>Evansville</t>
  </si>
  <si>
    <t>EXCESS</t>
  </si>
  <si>
    <t>EXP FUND</t>
  </si>
  <si>
    <t xml:space="preserve">EXP. FUND </t>
  </si>
  <si>
    <t>EXPENSES</t>
  </si>
  <si>
    <t>Fargo</t>
  </si>
  <si>
    <t>Farrell</t>
  </si>
  <si>
    <t>Fessenden</t>
  </si>
  <si>
    <t>FILED</t>
  </si>
  <si>
    <t>Fink</t>
  </si>
  <si>
    <t>FIRST NAME</t>
  </si>
  <si>
    <t>Fitzgerald</t>
  </si>
  <si>
    <t>FL</t>
  </si>
  <si>
    <t>Flint</t>
  </si>
  <si>
    <t>Florida</t>
  </si>
  <si>
    <t>Fort Lauderdale</t>
  </si>
  <si>
    <t>Fort Wayne</t>
  </si>
  <si>
    <t>Fort Worth</t>
  </si>
  <si>
    <t>Frank</t>
  </si>
  <si>
    <t>Fred</t>
  </si>
  <si>
    <t>Frederick</t>
  </si>
  <si>
    <t>Fresno</t>
  </si>
  <si>
    <t>FURN/ADP</t>
  </si>
  <si>
    <t>FY  1997  AUDITED ANNUAL REPORTS</t>
  </si>
  <si>
    <t>GA</t>
  </si>
  <si>
    <t>Gaertner</t>
  </si>
  <si>
    <t>Gallo</t>
  </si>
  <si>
    <t>Garden City</t>
  </si>
  <si>
    <t>Gary</t>
  </si>
  <si>
    <t>Geekie</t>
  </si>
  <si>
    <t>Gelberg</t>
  </si>
  <si>
    <t>George</t>
  </si>
  <si>
    <t>Georgia</t>
  </si>
  <si>
    <t>Gerald</t>
  </si>
  <si>
    <t>Germeraad</t>
  </si>
  <si>
    <t>Gilbert</t>
  </si>
  <si>
    <t>Grand Rapids</t>
  </si>
  <si>
    <t>Great Falls</t>
  </si>
  <si>
    <t>Griffin</t>
  </si>
  <si>
    <t>Gross</t>
  </si>
  <si>
    <t>GROSS</t>
  </si>
  <si>
    <t>Gulfport</t>
  </si>
  <si>
    <t>Guy</t>
  </si>
  <si>
    <t>Gwendolyn</t>
  </si>
  <si>
    <t>H. Michael</t>
  </si>
  <si>
    <t>Hallandale</t>
  </si>
  <si>
    <t>Harold</t>
  </si>
  <si>
    <t>Harrisburg</t>
  </si>
  <si>
    <t>Hart</t>
  </si>
  <si>
    <t>Hartford</t>
  </si>
  <si>
    <t>Hattiesburg</t>
  </si>
  <si>
    <t>Hawaii</t>
  </si>
  <si>
    <t>Heitkamp</t>
  </si>
  <si>
    <t>Helen</t>
  </si>
  <si>
    <t>Hendren, Jr.</t>
  </si>
  <si>
    <t>Henry</t>
  </si>
  <si>
    <t>Herbert</t>
  </si>
  <si>
    <t>Herkert</t>
  </si>
  <si>
    <t>HI</t>
  </si>
  <si>
    <t>Hicksville</t>
  </si>
  <si>
    <t>Hildebrand, III</t>
  </si>
  <si>
    <t>Holub</t>
  </si>
  <si>
    <t>Honolulu</t>
  </si>
  <si>
    <t>Hope</t>
  </si>
  <si>
    <t>Houston</t>
  </si>
  <si>
    <t>Howard</t>
  </si>
  <si>
    <t>Howe</t>
  </si>
  <si>
    <t>Hu</t>
  </si>
  <si>
    <t>Huntington</t>
  </si>
  <si>
    <t>Hyman</t>
  </si>
  <si>
    <t>IA</t>
  </si>
  <si>
    <t>ID</t>
  </si>
  <si>
    <t>Idaho</t>
  </si>
  <si>
    <t>IL</t>
  </si>
  <si>
    <t>Illinois</t>
  </si>
  <si>
    <t>IN</t>
  </si>
  <si>
    <t>IN EXCESS</t>
  </si>
  <si>
    <t>Indiana</t>
  </si>
  <si>
    <t>Indianapolis</t>
  </si>
  <si>
    <t>INTEREST</t>
  </si>
  <si>
    <t>Iowa</t>
  </si>
  <si>
    <t>Itule</t>
  </si>
  <si>
    <t>J. Glenwood</t>
  </si>
  <si>
    <t>J.C.</t>
  </si>
  <si>
    <t>J.J.</t>
  </si>
  <si>
    <t>Jack</t>
  </si>
  <si>
    <t>Jackson</t>
  </si>
  <si>
    <t>Jacksonville</t>
  </si>
  <si>
    <t>James</t>
  </si>
  <si>
    <t>Jan</t>
  </si>
  <si>
    <t>Jeffery</t>
  </si>
  <si>
    <t>Jerome</t>
  </si>
  <si>
    <t>Jo</t>
  </si>
  <si>
    <t>John</t>
  </si>
  <si>
    <t>Johnson</t>
  </si>
  <si>
    <t>Jones</t>
  </si>
  <si>
    <t>Joseph</t>
  </si>
  <si>
    <t>Kalamazoo</t>
  </si>
  <si>
    <t>Kansas</t>
  </si>
  <si>
    <t>Kansas City</t>
  </si>
  <si>
    <t>Kathleen</t>
  </si>
  <si>
    <t>Kearney</t>
  </si>
  <si>
    <t>Keith</t>
  </si>
  <si>
    <t>Kentucky</t>
  </si>
  <si>
    <t>Kerney</t>
  </si>
  <si>
    <t>Kerns</t>
  </si>
  <si>
    <t>King</t>
  </si>
  <si>
    <t>Kirkwood</t>
  </si>
  <si>
    <t>Knoxville</t>
  </si>
  <si>
    <t>Kristen</t>
  </si>
  <si>
    <t>Krommenhoek</t>
  </si>
  <si>
    <t>KS</t>
  </si>
  <si>
    <t>KY</t>
  </si>
  <si>
    <t>L.C.</t>
  </si>
  <si>
    <t>L.D.</t>
  </si>
  <si>
    <t>LA</t>
  </si>
  <si>
    <t>LaBarge, Jr.</t>
  </si>
  <si>
    <t>Lackey</t>
  </si>
  <si>
    <t>Lafayette</t>
  </si>
  <si>
    <t>Lansing</t>
  </si>
  <si>
    <t>Laporte</t>
  </si>
  <si>
    <t>Larry</t>
  </si>
  <si>
    <t>Las Vegas</t>
  </si>
  <si>
    <t>LAST NAME</t>
  </si>
  <si>
    <t>Laughlin</t>
  </si>
  <si>
    <t>Laurence</t>
  </si>
  <si>
    <t>Laurie</t>
  </si>
  <si>
    <t>Lawrence</t>
  </si>
  <si>
    <t>Ledford</t>
  </si>
  <si>
    <t>Leigh</t>
  </si>
  <si>
    <t>Levin/Neal</t>
  </si>
  <si>
    <t>Levy</t>
  </si>
  <si>
    <t>Lexington</t>
  </si>
  <si>
    <t>Locke</t>
  </si>
  <si>
    <t>Loheit</t>
  </si>
  <si>
    <t>Long</t>
  </si>
  <si>
    <t>Longview</t>
  </si>
  <si>
    <t>Lonnie</t>
  </si>
  <si>
    <t>Los Angeles</t>
  </si>
  <si>
    <t>Louis</t>
  </si>
  <si>
    <t>Louisiana</t>
  </si>
  <si>
    <t>Louisville</t>
  </si>
  <si>
    <t>Loves Park</t>
  </si>
  <si>
    <t>Lubbock</t>
  </si>
  <si>
    <t>Lydia</t>
  </si>
  <si>
    <t>Lynchburg</t>
  </si>
  <si>
    <t>M. Nelson</t>
  </si>
  <si>
    <t>MA</t>
  </si>
  <si>
    <t>Macco</t>
  </si>
  <si>
    <t>Macon</t>
  </si>
  <si>
    <t>Madison</t>
  </si>
  <si>
    <t>Maine</t>
  </si>
  <si>
    <t>Mamie</t>
  </si>
  <si>
    <t>Manasquan</t>
  </si>
  <si>
    <t>Margaret</t>
  </si>
  <si>
    <t>Margo</t>
  </si>
  <si>
    <t>Marianne</t>
  </si>
  <si>
    <t>Mark</t>
  </si>
  <si>
    <t>Martha</t>
  </si>
  <si>
    <t>Maryland</t>
  </si>
  <si>
    <t>Massachusetts</t>
  </si>
  <si>
    <t>Mazer</t>
  </si>
  <si>
    <t>McCullough</t>
  </si>
  <si>
    <t>McDonald</t>
  </si>
  <si>
    <t>McDonald, Jr.</t>
  </si>
  <si>
    <t>McRoberts</t>
  </si>
  <si>
    <t>MD</t>
  </si>
  <si>
    <t>ME</t>
  </si>
  <si>
    <t>Memphis</t>
  </si>
  <si>
    <t>MENTS</t>
  </si>
  <si>
    <t>Meridian</t>
  </si>
  <si>
    <t>Mesa</t>
  </si>
  <si>
    <t>Meyer</t>
  </si>
  <si>
    <t>MI</t>
  </si>
  <si>
    <t>Miami</t>
  </si>
  <si>
    <t>Michael</t>
  </si>
  <si>
    <t>Michigan</t>
  </si>
  <si>
    <t>Michigan City</t>
  </si>
  <si>
    <t>Mickelson</t>
  </si>
  <si>
    <t>Middle</t>
  </si>
  <si>
    <t>Midland</t>
  </si>
  <si>
    <t>Milwaukee</t>
  </si>
  <si>
    <t>Minneapolis</t>
  </si>
  <si>
    <t>Minnesota</t>
  </si>
  <si>
    <t>MIS-</t>
  </si>
  <si>
    <t>Mishler</t>
  </si>
  <si>
    <t>Mississippi</t>
  </si>
  <si>
    <t>Missouri</t>
  </si>
  <si>
    <t>MN</t>
  </si>
  <si>
    <t>MO</t>
  </si>
  <si>
    <t>Mogavero</t>
  </si>
  <si>
    <t>Montana</t>
  </si>
  <si>
    <t>Morin</t>
  </si>
  <si>
    <t>Morris</t>
  </si>
  <si>
    <t>MORTGAGE/</t>
  </si>
  <si>
    <t>MS</t>
  </si>
  <si>
    <t>MT</t>
  </si>
  <si>
    <t>Musgrave, II</t>
  </si>
  <si>
    <t>Muskogee</t>
  </si>
  <si>
    <t>Myers</t>
  </si>
  <si>
    <t>Myron</t>
  </si>
  <si>
    <t>N.A</t>
  </si>
  <si>
    <t>N.A.</t>
  </si>
  <si>
    <t>N/A</t>
  </si>
  <si>
    <t>Nancy</t>
  </si>
  <si>
    <t>Nashville</t>
  </si>
  <si>
    <t>NATIONAL AVGS.</t>
  </si>
  <si>
    <t>NATIONAL TOTALS</t>
  </si>
  <si>
    <t>ND</t>
  </si>
  <si>
    <t>NE</t>
  </si>
  <si>
    <t>Nebraska</t>
  </si>
  <si>
    <t>Nevada</t>
  </si>
  <si>
    <t>NEW</t>
  </si>
  <si>
    <t>New Hampshire</t>
  </si>
  <si>
    <t>New Jersey</t>
  </si>
  <si>
    <t>New Mexico</t>
  </si>
  <si>
    <t>New Orleans</t>
  </si>
  <si>
    <t>New York</t>
  </si>
  <si>
    <t>New York - Connecticut</t>
  </si>
  <si>
    <t>NH</t>
  </si>
  <si>
    <t>Niklas</t>
  </si>
  <si>
    <t>NJ</t>
  </si>
  <si>
    <t>NM</t>
  </si>
  <si>
    <t>NON-FEE</t>
  </si>
  <si>
    <t>North Dakota and Minnesota</t>
  </si>
  <si>
    <t>North Little Rock</t>
  </si>
  <si>
    <t>Northern</t>
  </si>
  <si>
    <t>Northern and Southern</t>
  </si>
  <si>
    <t>Norwood</t>
  </si>
  <si>
    <t>NOTE:  Emerson &amp; Stevenson classified Ongoing Mortgage Payments as Priority Disbursements; they have been moved to Secured Disbursements for consistency of data. 3/1/01</t>
  </si>
  <si>
    <t>NV</t>
  </si>
  <si>
    <t>NY</t>
  </si>
  <si>
    <t>Oakland</t>
  </si>
  <si>
    <t>O'Cheskey</t>
  </si>
  <si>
    <t>O'Connell</t>
  </si>
  <si>
    <t>O'Donnell</t>
  </si>
  <si>
    <t>OF 17%</t>
  </si>
  <si>
    <t>OFFICE</t>
  </si>
  <si>
    <t>OH</t>
  </si>
  <si>
    <t>Ohio</t>
  </si>
  <si>
    <t>OK</t>
  </si>
  <si>
    <t>Oklahoma</t>
  </si>
  <si>
    <t>Oklahoma City</t>
  </si>
  <si>
    <t>Olson</t>
  </si>
  <si>
    <t>Omaha</t>
  </si>
  <si>
    <t>OPER.</t>
  </si>
  <si>
    <t>OR</t>
  </si>
  <si>
    <t>Oregon</t>
  </si>
  <si>
    <t>Oshkosh</t>
  </si>
  <si>
    <t>OTHER</t>
  </si>
  <si>
    <t>PA</t>
  </si>
  <si>
    <t>Pappalardo</t>
  </si>
  <si>
    <t>Paris</t>
  </si>
  <si>
    <t>Parrish</t>
  </si>
  <si>
    <t>Paul</t>
  </si>
  <si>
    <t>PAYABLE</t>
  </si>
  <si>
    <t>PAYMENTS</t>
  </si>
  <si>
    <t>Pees</t>
  </si>
  <si>
    <t>Pendleton</t>
  </si>
  <si>
    <t>Pennsylvania</t>
  </si>
  <si>
    <t>Peoria</t>
  </si>
  <si>
    <t>Peter</t>
  </si>
  <si>
    <t>Petta</t>
  </si>
  <si>
    <t>Phelps</t>
  </si>
  <si>
    <t>Philadelphia</t>
  </si>
  <si>
    <t>Phoenix</t>
  </si>
  <si>
    <t>Phyllis</t>
  </si>
  <si>
    <t>Pittsburgh</t>
  </si>
  <si>
    <t>Pocatello</t>
  </si>
  <si>
    <t>Portland</t>
  </si>
  <si>
    <t>Portsmouth</t>
  </si>
  <si>
    <t>POSTAGE/</t>
  </si>
  <si>
    <t>Powers</t>
  </si>
  <si>
    <t>PR</t>
  </si>
  <si>
    <t>PRIORITY</t>
  </si>
  <si>
    <t>Providence</t>
  </si>
  <si>
    <t>Puerto Rico &amp; Virgin Islands</t>
  </si>
  <si>
    <t>PURCHASE</t>
  </si>
  <si>
    <t>R. Geoffrey</t>
  </si>
  <si>
    <t>Rakozy</t>
  </si>
  <si>
    <t>Ralph</t>
  </si>
  <si>
    <t>RATIO</t>
  </si>
  <si>
    <t>Ray</t>
  </si>
  <si>
    <t>Raymond</t>
  </si>
  <si>
    <t>Reading</t>
  </si>
  <si>
    <t>RECEIPTS</t>
  </si>
  <si>
    <t>REFUNDS TO</t>
  </si>
  <si>
    <t>REG</t>
  </si>
  <si>
    <t>Regina</t>
  </si>
  <si>
    <t>Reiber</t>
  </si>
  <si>
    <t>Reigle</t>
  </si>
  <si>
    <t>RELATE/</t>
  </si>
  <si>
    <t>RELATED</t>
  </si>
  <si>
    <t>Reno</t>
  </si>
  <si>
    <t>RENT AND</t>
  </si>
  <si>
    <t>RENTAL</t>
  </si>
  <si>
    <t>Rhode Island</t>
  </si>
  <si>
    <t>RI</t>
  </si>
  <si>
    <t>Richard</t>
  </si>
  <si>
    <t>Richman</t>
  </si>
  <si>
    <t>Richmond</t>
  </si>
  <si>
    <t>Ridgway</t>
  </si>
  <si>
    <t>Roanoke</t>
  </si>
  <si>
    <t>Robert</t>
  </si>
  <si>
    <t>Robin</t>
  </si>
  <si>
    <t>Rochester</t>
  </si>
  <si>
    <t>Rock Island</t>
  </si>
  <si>
    <t>Rockville Centre</t>
  </si>
  <si>
    <t>Rodgers</t>
  </si>
  <si>
    <t>Rodriguez</t>
  </si>
  <si>
    <t>Rosen</t>
  </si>
  <si>
    <t>Rosenbaum</t>
  </si>
  <si>
    <t>Rosenthal</t>
  </si>
  <si>
    <t>Roth</t>
  </si>
  <si>
    <t>Royce</t>
  </si>
  <si>
    <t>Ruskin</t>
  </si>
  <si>
    <t>Russell</t>
  </si>
  <si>
    <t>Sacramento</t>
  </si>
  <si>
    <t>Saginaw</t>
  </si>
  <si>
    <t>SALARIES</t>
  </si>
  <si>
    <t>Sally</t>
  </si>
  <si>
    <t>Salt Lake City</t>
  </si>
  <si>
    <t>San Antonio</t>
  </si>
  <si>
    <t>San Diego</t>
  </si>
  <si>
    <t>San Francisco</t>
  </si>
  <si>
    <t>San Jose</t>
  </si>
  <si>
    <t>San Juan</t>
  </si>
  <si>
    <t>Sanford</t>
  </si>
  <si>
    <t>Santa Ana</t>
  </si>
  <si>
    <t>Santoro</t>
  </si>
  <si>
    <t>Sapir</t>
  </si>
  <si>
    <t>Satterlee, Jr.</t>
  </si>
  <si>
    <t>Savage</t>
  </si>
  <si>
    <t>Savannah</t>
  </si>
  <si>
    <t>SC</t>
  </si>
  <si>
    <t>Schulman-3 mos.</t>
  </si>
  <si>
    <t>Scura</t>
  </si>
  <si>
    <t>SD</t>
  </si>
  <si>
    <t>Seattle</t>
  </si>
  <si>
    <t>SECURED</t>
  </si>
  <si>
    <t>Sensenich</t>
  </si>
  <si>
    <t>SERVICES</t>
  </si>
  <si>
    <t>Seymour</t>
  </si>
  <si>
    <t>Sharon</t>
  </si>
  <si>
    <t>Shreveport</t>
  </si>
  <si>
    <t>Sidney</t>
  </si>
  <si>
    <t>Simmons</t>
  </si>
  <si>
    <t>Sioux Falls</t>
  </si>
  <si>
    <t>Skelton</t>
  </si>
  <si>
    <t>Smith</t>
  </si>
  <si>
    <t>Smith, K.</t>
  </si>
  <si>
    <t>Smith, T.</t>
  </si>
  <si>
    <t>South Carolina</t>
  </si>
  <si>
    <t>South Dakota</t>
  </si>
  <si>
    <t>Southern</t>
  </si>
  <si>
    <t>Southern/Northern</t>
  </si>
  <si>
    <t>Southfield</t>
  </si>
  <si>
    <t>Sparkman</t>
  </si>
  <si>
    <t>Spears</t>
  </si>
  <si>
    <t>Spokane</t>
  </si>
  <si>
    <t>Springfield</t>
  </si>
  <si>
    <t>Spurgeon</t>
  </si>
  <si>
    <t>START '97</t>
  </si>
  <si>
    <t>STATE</t>
  </si>
  <si>
    <t>Stephenson, Jr.</t>
  </si>
  <si>
    <t>Sterling</t>
  </si>
  <si>
    <t>Steve</t>
  </si>
  <si>
    <t>Stevenson</t>
  </si>
  <si>
    <t>Still</t>
  </si>
  <si>
    <t>Strickler</t>
  </si>
  <si>
    <t>Stuart</t>
  </si>
  <si>
    <t>SULTING</t>
  </si>
  <si>
    <t>Sumski</t>
  </si>
  <si>
    <t>SUPPLIES</t>
  </si>
  <si>
    <t>SURPLUS</t>
  </si>
  <si>
    <t>Suzanne</t>
  </si>
  <si>
    <t>Swimelar</t>
  </si>
  <si>
    <t>Sylvia</t>
  </si>
  <si>
    <t>Tallahassee</t>
  </si>
  <si>
    <t>Tedd</t>
  </si>
  <si>
    <t>TELEPH/</t>
  </si>
  <si>
    <t>Tennessee</t>
  </si>
  <si>
    <t>Terre Haute</t>
  </si>
  <si>
    <t>Terry</t>
  </si>
  <si>
    <t>Texas</t>
  </si>
  <si>
    <t>Thomas</t>
  </si>
  <si>
    <t>Tim</t>
  </si>
  <si>
    <t>TN</t>
  </si>
  <si>
    <t>TO ANTHR</t>
  </si>
  <si>
    <t>TO EXP FUND</t>
  </si>
  <si>
    <t>TO USTP</t>
  </si>
  <si>
    <t>Toby</t>
  </si>
  <si>
    <t>Toledo</t>
  </si>
  <si>
    <t>Topeka</t>
  </si>
  <si>
    <t>Toscano</t>
  </si>
  <si>
    <t>TOTAL</t>
  </si>
  <si>
    <t>TRAINING</t>
  </si>
  <si>
    <t>TRANSF'D</t>
  </si>
  <si>
    <t>TRANSFERRED</t>
  </si>
  <si>
    <t>Truman</t>
  </si>
  <si>
    <t>TRUSTEE</t>
  </si>
  <si>
    <t>Tucson</t>
  </si>
  <si>
    <t>Tulsa</t>
  </si>
  <si>
    <t>TX</t>
  </si>
  <si>
    <t>Tyler</t>
  </si>
  <si>
    <t>UNSEC'D</t>
  </si>
  <si>
    <t>UT</t>
  </si>
  <si>
    <t>Utah</t>
  </si>
  <si>
    <t>UTILS</t>
  </si>
  <si>
    <t>VA</t>
  </si>
  <si>
    <t>Vanessa</t>
  </si>
  <si>
    <t>Vermont</t>
  </si>
  <si>
    <t>Virginia</t>
  </si>
  <si>
    <t>VT</t>
  </si>
  <si>
    <t>WA</t>
  </si>
  <si>
    <t>Wallace</t>
  </si>
  <si>
    <t>Walter</t>
  </si>
  <si>
    <t>Warford</t>
  </si>
  <si>
    <t>Washington</t>
  </si>
  <si>
    <t>Wasserman</t>
  </si>
  <si>
    <t>Waterloo</t>
  </si>
  <si>
    <t>Watertown</t>
  </si>
  <si>
    <t>Wayne</t>
  </si>
  <si>
    <t>Weatherford</t>
  </si>
  <si>
    <t>Weinberg</t>
  </si>
  <si>
    <t>Weiner</t>
  </si>
  <si>
    <t>West Virginia</t>
  </si>
  <si>
    <t>Western</t>
  </si>
  <si>
    <t xml:space="preserve">Western </t>
  </si>
  <si>
    <t>Western and Eastern</t>
  </si>
  <si>
    <t>White</t>
  </si>
  <si>
    <t>White Plains</t>
  </si>
  <si>
    <t>WI</t>
  </si>
  <si>
    <t>Wichita</t>
  </si>
  <si>
    <t>Widener</t>
  </si>
  <si>
    <t>Wilder</t>
  </si>
  <si>
    <t>William</t>
  </si>
  <si>
    <t>Wilmington</t>
  </si>
  <si>
    <t>Wilson</t>
  </si>
  <si>
    <t>Winterpark</t>
  </si>
  <si>
    <t>Wisconsin</t>
  </si>
  <si>
    <t>Wood</t>
  </si>
  <si>
    <t>Worcester</t>
  </si>
  <si>
    <t>Worthington</t>
  </si>
  <si>
    <t>WV</t>
  </si>
  <si>
    <t>WY</t>
  </si>
  <si>
    <t>Wyoming and Utah</t>
  </si>
  <si>
    <t>Yarnall</t>
  </si>
  <si>
    <t>Youngstown</t>
  </si>
  <si>
    <t>Yuma</t>
  </si>
  <si>
    <t>Zeman</t>
  </si>
  <si>
    <t>Zimmerman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</si>
</sst>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$-409]\ #,##0"/>
    <numFmt numFmtId="165" formatCode="\_x000f_;;;"/>
    <numFmt numFmtId="166" formatCode="#,##0.0"/>
    <numFmt numFmtId="167" formatCode="0.0%"/>
  </numFmts>
  <fonts count="5" x14ac:knownFonts="1">
    <font>
      <sz val="12"/>
      <name val="Arial"/>
    </font>
    <font>
      <sz val="10"/>
      <name val="Times New Roman"/>
    </font>
    <font>
      <sz val="10"/>
      <name val="Arial"/>
    </font>
    <font>
      <sz val="8"/>
      <name val="Arial"/>
    </font>
    <font>
      <sz val="8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12"/>
        <bgColor indexed="8"/>
      </patternFill>
    </fill>
  </fills>
  <borders count="1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/>
      <top/>
      <bottom style="thin">
        <color indexed="10"/>
      </bottom>
      <diagonal/>
    </border>
  </borders>
  <cellStyleXfs count="1">
    <xf numFmtId="0" fontId="0" fillId="0" borderId="0"/>
  </cellStyleXfs>
  <cellXfs count="48">
    <xf numFmtId="3" fontId="0" fillId="2" borderId="0" xfId="0" applyNumberFormat="1" applyFill="1"/>
    <xf numFmtId="0" fontId="2" fillId="2" borderId="1" xfId="0" applyFont="1" applyFill="1" applyBorder="1"/>
    <xf numFmtId="3" fontId="2" fillId="3" borderId="1" xfId="0" applyNumberFormat="1" applyFont="1" applyFill="1" applyBorder="1"/>
    <xf numFmtId="3" fontId="2" fillId="2" borderId="0" xfId="0" applyNumberFormat="1" applyFont="1" applyFill="1"/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164" fontId="2" fillId="2" borderId="1" xfId="0" applyNumberFormat="1" applyFont="1" applyFill="1" applyBorder="1"/>
    <xf numFmtId="3" fontId="2" fillId="2" borderId="3" xfId="0" applyNumberFormat="1" applyFont="1" applyFill="1" applyBorder="1"/>
    <xf numFmtId="0" fontId="1" fillId="2" borderId="0" xfId="0" applyFont="1" applyFill="1"/>
    <xf numFmtId="3" fontId="2" fillId="2" borderId="1" xfId="0" applyNumberFormat="1" applyFont="1" applyFill="1" applyBorder="1"/>
    <xf numFmtId="3" fontId="3" fillId="2" borderId="0" xfId="0" applyNumberFormat="1" applyFont="1" applyFill="1"/>
    <xf numFmtId="0" fontId="4" fillId="2" borderId="0" xfId="0" applyFont="1" applyFill="1"/>
    <xf numFmtId="22" fontId="3" fillId="2" borderId="0" xfId="0" applyNumberFormat="1" applyFont="1" applyFill="1"/>
    <xf numFmtId="22" fontId="1" fillId="2" borderId="0" xfId="0" applyNumberFormat="1" applyFont="1" applyFill="1"/>
    <xf numFmtId="15" fontId="2" fillId="2" borderId="0" xfId="0" applyNumberFormat="1" applyFont="1" applyFill="1"/>
    <xf numFmtId="0" fontId="2" fillId="2" borderId="0" xfId="0" applyFont="1" applyFill="1"/>
    <xf numFmtId="165" fontId="2" fillId="2" borderId="0" xfId="0" applyNumberFormat="1" applyFont="1" applyFill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4" borderId="8" xfId="0" applyFont="1" applyFill="1" applyBorder="1"/>
    <xf numFmtId="166" fontId="2" fillId="2" borderId="3" xfId="0" applyNumberFormat="1" applyFont="1" applyFill="1" applyBorder="1"/>
    <xf numFmtId="167" fontId="2" fillId="2" borderId="1" xfId="0" applyNumberFormat="1" applyFont="1" applyFill="1" applyBorder="1"/>
    <xf numFmtId="166" fontId="2" fillId="2" borderId="0" xfId="0" applyNumberFormat="1" applyFont="1" applyFill="1"/>
    <xf numFmtId="10" fontId="2" fillId="2" borderId="3" xfId="0" applyNumberFormat="1" applyFont="1" applyFill="1" applyBorder="1"/>
    <xf numFmtId="3" fontId="2" fillId="2" borderId="9" xfId="0" applyNumberFormat="1" applyFont="1" applyFill="1" applyBorder="1"/>
    <xf numFmtId="10" fontId="2" fillId="2" borderId="1" xfId="0" applyNumberFormat="1" applyFont="1" applyFill="1" applyBorder="1"/>
    <xf numFmtId="10" fontId="2" fillId="2" borderId="0" xfId="0" applyNumberFormat="1" applyFont="1" applyFill="1"/>
    <xf numFmtId="0" fontId="2" fillId="2" borderId="8" xfId="0" applyFont="1" applyFill="1" applyBorder="1"/>
    <xf numFmtId="0" fontId="2" fillId="2" borderId="10" xfId="0" applyFont="1" applyFill="1" applyBorder="1"/>
    <xf numFmtId="167" fontId="2" fillId="2" borderId="0" xfId="0" applyNumberFormat="1" applyFont="1" applyFill="1"/>
    <xf numFmtId="3" fontId="2" fillId="2" borderId="5" xfId="0" applyNumberFormat="1" applyFont="1" applyFill="1" applyBorder="1"/>
    <xf numFmtId="1" fontId="2" fillId="2" borderId="1" xfId="0" applyNumberFormat="1" applyFont="1" applyFill="1" applyBorder="1"/>
    <xf numFmtId="0" fontId="2" fillId="2" borderId="1" xfId="0" applyFont="1" applyFill="1" applyBorder="1" applyAlignment="1">
      <alignment horizontal="right"/>
    </xf>
    <xf numFmtId="0" fontId="2" fillId="3" borderId="11" xfId="0" applyFont="1" applyFill="1" applyBorder="1"/>
    <xf numFmtId="0" fontId="2" fillId="3" borderId="8" xfId="0" applyFont="1" applyFill="1" applyBorder="1"/>
    <xf numFmtId="3" fontId="2" fillId="3" borderId="8" xfId="0" applyNumberFormat="1" applyFont="1" applyFill="1" applyBorder="1"/>
    <xf numFmtId="0" fontId="2" fillId="3" borderId="1" xfId="0" applyFont="1" applyFill="1" applyBorder="1"/>
    <xf numFmtId="167" fontId="2" fillId="3" borderId="1" xfId="0" applyNumberFormat="1" applyFont="1" applyFill="1" applyBorder="1"/>
    <xf numFmtId="166" fontId="2" fillId="3" borderId="1" xfId="0" applyNumberFormat="1" applyFont="1" applyFill="1" applyBorder="1"/>
    <xf numFmtId="10" fontId="2" fillId="3" borderId="1" xfId="0" applyNumberFormat="1" applyFont="1" applyFill="1" applyBorder="1"/>
    <xf numFmtId="3" fontId="2" fillId="3" borderId="1" xfId="0" applyNumberFormat="1" applyFont="1" applyFill="1" applyBorder="1" applyAlignment="1">
      <alignment horizontal="right"/>
    </xf>
    <xf numFmtId="3" fontId="2" fillId="2" borderId="12" xfId="0" applyNumberFormat="1" applyFont="1" applyFill="1" applyBorder="1"/>
    <xf numFmtId="3" fontId="2" fillId="2" borderId="13" xfId="0" applyNumberFormat="1" applyFont="1" applyFill="1" applyBorder="1"/>
    <xf numFmtId="3" fontId="2" fillId="2" borderId="14" xfId="0" applyNumberFormat="1" applyFont="1" applyFill="1" applyBorder="1"/>
    <xf numFmtId="3" fontId="2" fillId="2" borderId="2" xfId="0" applyNumberFormat="1" applyFont="1" applyFill="1" applyBorder="1"/>
    <xf numFmtId="3" fontId="2" fillId="2" borderId="4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C0C0C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B193"/>
  <sheetViews>
    <sheetView showGridLines="0" tabSelected="1" workbookViewId="0"/>
  </sheetViews>
  <sheetFormatPr defaultRowHeight="15" x14ac:dyDescent="0.25"/>
  <cols>
    <col min="1" max="1" width="5.08984375" style="3" customWidth="1"/>
    <col min="2" max="2" width="14.08984375" style="3" customWidth="1"/>
    <col min="3" max="3" width="10.453125" style="3" hidden="1" customWidth="1"/>
    <col min="4" max="4" width="12.26953125" style="3" customWidth="1"/>
    <col min="5" max="5" width="5.90625" style="3" customWidth="1"/>
    <col min="6" max="6" width="17.1796875" style="3" customWidth="1"/>
    <col min="7" max="7" width="16.7265625" style="3" customWidth="1"/>
    <col min="8" max="8" width="14.08984375" style="3" customWidth="1"/>
    <col min="9" max="9" width="13.08984375" style="3" customWidth="1"/>
    <col min="10" max="10" width="11.7265625" style="3" customWidth="1"/>
    <col min="11" max="11" width="12.36328125" style="3" customWidth="1"/>
    <col min="12" max="12" width="11.7265625" style="3" customWidth="1"/>
    <col min="13" max="13" width="12.6328125" style="3" customWidth="1"/>
    <col min="14" max="14" width="10.54296875" style="3" customWidth="1"/>
    <col min="15" max="15" width="12.453125" style="3" customWidth="1"/>
    <col min="16" max="16" width="11.54296875" style="3" customWidth="1"/>
    <col min="17" max="17" width="10.54296875" style="3" customWidth="1"/>
    <col min="18" max="18" width="12.453125" style="3" customWidth="1"/>
    <col min="19" max="19" width="10.54296875" style="3" customWidth="1"/>
    <col min="20" max="20" width="10.90625" style="3" customWidth="1"/>
    <col min="21" max="21" width="9.7265625" style="3" customWidth="1"/>
    <col min="22" max="22" width="11.54296875" style="3" customWidth="1"/>
    <col min="23" max="23" width="11.26953125" style="3" customWidth="1"/>
    <col min="24" max="24" width="10" style="3" customWidth="1"/>
    <col min="25" max="25" width="11" style="3" customWidth="1"/>
    <col min="26" max="26" width="10.54296875" style="3" customWidth="1"/>
    <col min="27" max="27" width="12.6328125" style="3" customWidth="1"/>
    <col min="28" max="28" width="10.453125" style="3" customWidth="1"/>
    <col min="29" max="29" width="11.7265625" style="3" customWidth="1"/>
    <col min="30" max="30" width="11.08984375" style="3" customWidth="1"/>
    <col min="31" max="31" width="8.7265625" style="3"/>
    <col min="32" max="32" width="11.54296875" style="3" customWidth="1"/>
    <col min="33" max="33" width="8.81640625" style="3" customWidth="1"/>
    <col min="34" max="34" width="11.54296875" style="3" customWidth="1"/>
    <col min="35" max="35" width="11.26953125" style="3" customWidth="1"/>
    <col min="36" max="37" width="9.08984375" style="3" customWidth="1"/>
    <col min="38" max="38" width="10.6328125" style="3" customWidth="1"/>
    <col min="39" max="39" width="9.1796875" style="3" customWidth="1"/>
    <col min="40" max="40" width="8.81640625" style="3" customWidth="1"/>
    <col min="41" max="41" width="10.81640625" style="3" customWidth="1"/>
    <col min="42" max="42" width="9.54296875" style="3" customWidth="1"/>
    <col min="43" max="44" width="9.08984375" style="3" customWidth="1"/>
    <col min="45" max="45" width="9.1796875" style="3" customWidth="1"/>
    <col min="46" max="46" width="8.26953125" style="3" customWidth="1"/>
    <col min="47" max="47" width="10.81640625" style="3" customWidth="1"/>
    <col min="48" max="48" width="9.54296875" style="3" customWidth="1"/>
    <col min="49" max="49" width="8.26953125" style="3" customWidth="1"/>
    <col min="50" max="50" width="9.26953125" style="3" customWidth="1"/>
    <col min="51" max="51" width="14.6328125" style="3" customWidth="1"/>
    <col min="52" max="52" width="7.6328125" style="3" customWidth="1"/>
    <col min="53" max="53" width="9.08984375" style="3" customWidth="1"/>
    <col min="54" max="54" width="8.26953125" style="3" customWidth="1"/>
    <col min="55" max="55" width="12" style="3" customWidth="1"/>
    <col min="56" max="236" width="8.26953125" style="3" customWidth="1"/>
  </cols>
  <sheetData>
    <row r="1" spans="1:56" x14ac:dyDescent="0.25">
      <c r="A1" s="11"/>
      <c r="D1" s="16" t="s">
        <v>4</v>
      </c>
      <c r="Q1" s="16"/>
      <c r="R1" s="14"/>
      <c r="T1" s="16"/>
      <c r="AD1" s="14"/>
      <c r="AF1" s="16"/>
      <c r="AG1" s="16"/>
      <c r="AT1" s="14"/>
      <c r="AV1" s="16"/>
      <c r="AY1" s="16"/>
    </row>
    <row r="2" spans="1:56" x14ac:dyDescent="0.25">
      <c r="A2" s="16"/>
      <c r="D2" s="16" t="s">
        <v>226</v>
      </c>
      <c r="N2" s="14"/>
      <c r="Q2" s="16"/>
      <c r="S2" s="16"/>
      <c r="T2" s="16"/>
      <c r="U2" s="16"/>
      <c r="V2" s="17"/>
      <c r="AF2" s="16"/>
      <c r="AG2" s="16"/>
      <c r="AV2" s="16"/>
      <c r="AY2" s="16"/>
    </row>
    <row r="3" spans="1:56" x14ac:dyDescent="0.25">
      <c r="BA3" s="26"/>
      <c r="BB3" s="44"/>
      <c r="BC3" s="44"/>
      <c r="BD3" s="46"/>
    </row>
    <row r="4" spans="1:56" x14ac:dyDescent="0.25">
      <c r="C4" s="15" t="s">
        <v>0</v>
      </c>
      <c r="D4" s="13"/>
      <c r="BA4" s="43" t="s">
        <v>3</v>
      </c>
      <c r="BB4" s="45"/>
      <c r="BC4" s="45"/>
      <c r="BD4" s="47"/>
    </row>
    <row r="5" spans="1:56" x14ac:dyDescent="0.25">
      <c r="A5" s="18"/>
      <c r="B5" s="4"/>
      <c r="C5" s="4"/>
      <c r="D5" s="4"/>
      <c r="E5" s="4"/>
      <c r="F5" s="4"/>
      <c r="G5" s="4"/>
      <c r="H5" s="4" t="s">
        <v>243</v>
      </c>
      <c r="I5" s="4"/>
      <c r="J5" s="4" t="s">
        <v>542</v>
      </c>
      <c r="K5" s="4" t="s">
        <v>477</v>
      </c>
      <c r="L5" s="4" t="s">
        <v>608</v>
      </c>
      <c r="M5" s="4" t="s">
        <v>160</v>
      </c>
      <c r="N5" s="4" t="s">
        <v>17</v>
      </c>
      <c r="O5" s="4" t="s">
        <v>598</v>
      </c>
      <c r="P5" s="4" t="s">
        <v>109</v>
      </c>
      <c r="Q5" s="4" t="s">
        <v>426</v>
      </c>
      <c r="R5" s="4" t="s">
        <v>54</v>
      </c>
      <c r="S5" s="4"/>
      <c r="T5" s="4"/>
      <c r="U5" s="4"/>
      <c r="V5" s="29" t="s">
        <v>2</v>
      </c>
      <c r="W5" s="29"/>
      <c r="X5" s="30"/>
      <c r="Y5" s="4" t="s">
        <v>440</v>
      </c>
      <c r="Z5" s="4" t="s">
        <v>79</v>
      </c>
      <c r="AA5" s="4"/>
      <c r="AB5" s="4" t="s">
        <v>137</v>
      </c>
      <c r="AC5" s="4" t="s">
        <v>583</v>
      </c>
      <c r="AD5" s="4"/>
      <c r="AE5" s="4" t="s">
        <v>201</v>
      </c>
      <c r="AF5" s="4" t="s">
        <v>201</v>
      </c>
      <c r="AG5" s="4" t="s">
        <v>598</v>
      </c>
      <c r="AH5" s="4"/>
      <c r="AI5" s="4" t="s">
        <v>598</v>
      </c>
      <c r="AJ5" s="4" t="s">
        <v>494</v>
      </c>
      <c r="AK5" s="4" t="s">
        <v>66</v>
      </c>
      <c r="AL5" s="4"/>
      <c r="AM5" s="4"/>
      <c r="AN5" s="4"/>
      <c r="AO5" s="4" t="s">
        <v>198</v>
      </c>
      <c r="AP5" s="4" t="s">
        <v>206</v>
      </c>
      <c r="AQ5" s="4" t="s">
        <v>577</v>
      </c>
      <c r="AR5" s="4" t="s">
        <v>20</v>
      </c>
      <c r="AS5" s="4" t="s">
        <v>108</v>
      </c>
      <c r="AT5" s="4" t="s">
        <v>415</v>
      </c>
      <c r="AU5" s="4" t="s">
        <v>108</v>
      </c>
      <c r="AV5" s="4"/>
      <c r="AW5" s="4"/>
      <c r="AX5" s="4"/>
      <c r="AY5" s="4"/>
      <c r="AZ5" s="18"/>
      <c r="BA5" s="4"/>
      <c r="BB5" s="4"/>
      <c r="BC5" s="4"/>
      <c r="BD5" s="4"/>
    </row>
    <row r="6" spans="1:56" x14ac:dyDescent="0.25">
      <c r="A6" s="19"/>
      <c r="B6" s="5" t="s">
        <v>603</v>
      </c>
      <c r="C6" s="5" t="s">
        <v>603</v>
      </c>
      <c r="D6" s="5"/>
      <c r="E6" s="5"/>
      <c r="F6" s="5" t="s">
        <v>180</v>
      </c>
      <c r="G6" s="5" t="s">
        <v>566</v>
      </c>
      <c r="H6" s="5" t="s">
        <v>160</v>
      </c>
      <c r="I6" s="5" t="s">
        <v>489</v>
      </c>
      <c r="J6" s="5" t="s">
        <v>147</v>
      </c>
      <c r="K6" s="5" t="s">
        <v>147</v>
      </c>
      <c r="L6" s="5" t="s">
        <v>147</v>
      </c>
      <c r="M6" s="5" t="s">
        <v>51</v>
      </c>
      <c r="N6" s="5" t="s">
        <v>600</v>
      </c>
      <c r="O6" s="5" t="s">
        <v>177</v>
      </c>
      <c r="P6" s="5" t="s">
        <v>488</v>
      </c>
      <c r="Q6" s="5" t="s">
        <v>397</v>
      </c>
      <c r="R6" s="5" t="s">
        <v>9</v>
      </c>
      <c r="S6" s="5" t="s">
        <v>7</v>
      </c>
      <c r="T6" s="5" t="s">
        <v>139</v>
      </c>
      <c r="U6" s="5"/>
      <c r="V6" s="5"/>
      <c r="W6" s="5" t="s">
        <v>196</v>
      </c>
      <c r="X6" s="5"/>
      <c r="Y6" s="5" t="s">
        <v>497</v>
      </c>
      <c r="Z6" s="5" t="s">
        <v>19</v>
      </c>
      <c r="AA6" s="5" t="s">
        <v>136</v>
      </c>
      <c r="AB6" s="5" t="s">
        <v>574</v>
      </c>
      <c r="AC6" s="5" t="s">
        <v>474</v>
      </c>
      <c r="AD6" s="5"/>
      <c r="AE6" s="5" t="s">
        <v>225</v>
      </c>
      <c r="AF6" s="5" t="s">
        <v>225</v>
      </c>
      <c r="AG6" s="5" t="s">
        <v>33</v>
      </c>
      <c r="AH6" s="5" t="s">
        <v>598</v>
      </c>
      <c r="AI6" s="5" t="s">
        <v>44</v>
      </c>
      <c r="AJ6" s="5" t="s">
        <v>32</v>
      </c>
      <c r="AK6" s="5" t="s">
        <v>205</v>
      </c>
      <c r="AL6" s="5" t="s">
        <v>387</v>
      </c>
      <c r="AM6" s="5" t="s">
        <v>22</v>
      </c>
      <c r="AN6" s="5" t="s">
        <v>204</v>
      </c>
      <c r="AO6" s="5" t="s">
        <v>206</v>
      </c>
      <c r="AP6" s="5" t="s">
        <v>279</v>
      </c>
      <c r="AQ6" s="5" t="s">
        <v>458</v>
      </c>
      <c r="AR6" s="5" t="s">
        <v>448</v>
      </c>
      <c r="AS6" s="5" t="s">
        <v>21</v>
      </c>
      <c r="AT6" s="5" t="s">
        <v>108</v>
      </c>
      <c r="AU6" s="5" t="s">
        <v>141</v>
      </c>
      <c r="AV6" s="5" t="s">
        <v>108</v>
      </c>
      <c r="AW6" s="5" t="s">
        <v>108</v>
      </c>
      <c r="AX6" s="5" t="s">
        <v>452</v>
      </c>
      <c r="AY6" s="5" t="s">
        <v>6</v>
      </c>
      <c r="AZ6" s="19" t="s">
        <v>108</v>
      </c>
      <c r="BA6" s="5"/>
      <c r="BB6" s="5"/>
      <c r="BC6" s="5"/>
      <c r="BD6" s="5"/>
    </row>
    <row r="7" spans="1:56" x14ac:dyDescent="0.25">
      <c r="A7" s="20" t="s">
        <v>490</v>
      </c>
      <c r="B7" s="6" t="s">
        <v>326</v>
      </c>
      <c r="C7" s="6" t="s">
        <v>213</v>
      </c>
      <c r="D7" s="6" t="s">
        <v>124</v>
      </c>
      <c r="E7" s="6" t="s">
        <v>566</v>
      </c>
      <c r="F7" s="6" t="s">
        <v>45</v>
      </c>
      <c r="G7" s="6" t="s">
        <v>45</v>
      </c>
      <c r="H7" s="6" t="s">
        <v>459</v>
      </c>
      <c r="I7" s="6" t="s">
        <v>161</v>
      </c>
      <c r="J7" s="6" t="s">
        <v>175</v>
      </c>
      <c r="K7" s="6" t="s">
        <v>175</v>
      </c>
      <c r="L7" s="6" t="s">
        <v>175</v>
      </c>
      <c r="M7" s="6" t="s">
        <v>176</v>
      </c>
      <c r="N7" s="6" t="s">
        <v>592</v>
      </c>
      <c r="O7" s="6" t="s">
        <v>372</v>
      </c>
      <c r="P7" s="6" t="s">
        <v>484</v>
      </c>
      <c r="Q7" s="6" t="s">
        <v>120</v>
      </c>
      <c r="R7" s="6" t="s">
        <v>43</v>
      </c>
      <c r="S7" s="6" t="s">
        <v>601</v>
      </c>
      <c r="T7" s="6" t="s">
        <v>488</v>
      </c>
      <c r="U7" s="6" t="s">
        <v>282</v>
      </c>
      <c r="V7" s="6" t="s">
        <v>522</v>
      </c>
      <c r="W7" s="6" t="s">
        <v>140</v>
      </c>
      <c r="X7" s="6" t="s">
        <v>70</v>
      </c>
      <c r="Y7" s="6" t="s">
        <v>611</v>
      </c>
      <c r="Z7" s="6" t="s">
        <v>544</v>
      </c>
      <c r="AA7" s="6" t="s">
        <v>544</v>
      </c>
      <c r="AB7" s="6" t="s">
        <v>544</v>
      </c>
      <c r="AC7" s="6" t="s">
        <v>576</v>
      </c>
      <c r="AD7" s="6" t="s">
        <v>599</v>
      </c>
      <c r="AE7" s="6" t="s">
        <v>498</v>
      </c>
      <c r="AF7" s="6" t="s">
        <v>480</v>
      </c>
      <c r="AG7" s="6" t="s">
        <v>495</v>
      </c>
      <c r="AH7" s="6" t="s">
        <v>207</v>
      </c>
      <c r="AI7" s="6" t="s">
        <v>207</v>
      </c>
      <c r="AJ7" s="6" t="s">
        <v>8</v>
      </c>
      <c r="AK7" s="6" t="s">
        <v>56</v>
      </c>
      <c r="AL7" s="6" t="s">
        <v>178</v>
      </c>
      <c r="AM7" s="6" t="s">
        <v>134</v>
      </c>
      <c r="AN7" s="6" t="s">
        <v>134</v>
      </c>
      <c r="AO7" s="6" t="s">
        <v>56</v>
      </c>
      <c r="AP7" s="6" t="s">
        <v>439</v>
      </c>
      <c r="AQ7" s="6" t="s">
        <v>593</v>
      </c>
      <c r="AR7" s="6" t="s">
        <v>163</v>
      </c>
      <c r="AS7" s="6" t="s">
        <v>565</v>
      </c>
      <c r="AT7" s="6" t="s">
        <v>211</v>
      </c>
      <c r="AU7" s="6" t="s">
        <v>591</v>
      </c>
      <c r="AV7" s="6" t="s">
        <v>179</v>
      </c>
      <c r="AW7" s="6" t="s">
        <v>127</v>
      </c>
      <c r="AX7" s="6" t="s">
        <v>23</v>
      </c>
      <c r="AY7" s="6" t="s">
        <v>197</v>
      </c>
      <c r="AZ7" s="19" t="s">
        <v>13</v>
      </c>
      <c r="BA7" s="5" t="s">
        <v>18</v>
      </c>
      <c r="BB7" s="5" t="s">
        <v>16</v>
      </c>
      <c r="BC7" s="5" t="s">
        <v>15</v>
      </c>
      <c r="BD7" s="5" t="s">
        <v>14</v>
      </c>
    </row>
    <row r="8" spans="1:56" x14ac:dyDescent="0.25">
      <c r="A8" s="19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8"/>
      <c r="R8" s="25"/>
      <c r="S8" s="8"/>
      <c r="T8" s="8"/>
      <c r="U8" s="5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32"/>
      <c r="BA8" s="10"/>
      <c r="BB8" s="10"/>
      <c r="BC8" s="10"/>
      <c r="BD8" s="10"/>
    </row>
    <row r="9" spans="1:56" x14ac:dyDescent="0.25">
      <c r="A9" s="35"/>
      <c r="B9" s="36" t="s">
        <v>409</v>
      </c>
      <c r="C9" s="21"/>
      <c r="D9" s="36"/>
      <c r="E9" s="37"/>
      <c r="F9" s="37"/>
      <c r="G9" s="37"/>
      <c r="H9" s="2">
        <f t="shared" ref="H9:AI9" si="0">AVERAGE(H12:H182)</f>
        <v>15336901.339181287</v>
      </c>
      <c r="I9" s="2">
        <f t="shared" si="0"/>
        <v>657196.12865497079</v>
      </c>
      <c r="J9" s="2">
        <f t="shared" si="0"/>
        <v>8086435.6023391811</v>
      </c>
      <c r="K9" s="2">
        <f t="shared" si="0"/>
        <v>1427149.1988304094</v>
      </c>
      <c r="L9" s="2">
        <f t="shared" si="0"/>
        <v>2724224.0350877191</v>
      </c>
      <c r="M9" s="2">
        <f t="shared" si="0"/>
        <v>1221366.2105263157</v>
      </c>
      <c r="N9" s="2">
        <f t="shared" si="0"/>
        <v>15710.952941176471</v>
      </c>
      <c r="O9" s="2">
        <f t="shared" si="0"/>
        <v>14294430.029239766</v>
      </c>
      <c r="P9" s="39">
        <f t="shared" si="0"/>
        <v>0.12283354999999997</v>
      </c>
      <c r="Q9" s="2">
        <f t="shared" si="0"/>
        <v>722837.30994152045</v>
      </c>
      <c r="R9" s="41">
        <f t="shared" si="0"/>
        <v>6.9314189691343328E-2</v>
      </c>
      <c r="S9" s="2">
        <f t="shared" si="0"/>
        <v>755923.39766081877</v>
      </c>
      <c r="T9" s="2">
        <f t="shared" si="0"/>
        <v>3257.8538011695905</v>
      </c>
      <c r="U9" s="2">
        <f t="shared" si="0"/>
        <v>58168.574795321634</v>
      </c>
      <c r="V9" s="2">
        <f t="shared" si="0"/>
        <v>331394.14619883039</v>
      </c>
      <c r="W9" s="2">
        <f t="shared" si="0"/>
        <v>27962.263157894737</v>
      </c>
      <c r="X9" s="2">
        <f t="shared" si="0"/>
        <v>61047.947368421053</v>
      </c>
      <c r="Y9" s="2">
        <f t="shared" si="0"/>
        <v>59406.081871345028</v>
      </c>
      <c r="Z9" s="2">
        <f t="shared" si="0"/>
        <v>6844.479532163743</v>
      </c>
      <c r="AA9" s="2">
        <f t="shared" si="0"/>
        <v>28855.766081871345</v>
      </c>
      <c r="AB9" s="2">
        <f t="shared" si="0"/>
        <v>7381.1228070175439</v>
      </c>
      <c r="AC9" s="2">
        <f t="shared" si="0"/>
        <v>68660.339181286545</v>
      </c>
      <c r="AD9" s="2">
        <f t="shared" si="0"/>
        <v>6780.520467836257</v>
      </c>
      <c r="AE9" s="2">
        <f t="shared" si="0"/>
        <v>5548.9649122807014</v>
      </c>
      <c r="AF9" s="2">
        <f t="shared" si="0"/>
        <v>29592.994152046784</v>
      </c>
      <c r="AG9" s="2">
        <f t="shared" si="0"/>
        <v>42237.5</v>
      </c>
      <c r="AH9" s="2">
        <f t="shared" si="0"/>
        <v>690351.60233918123</v>
      </c>
      <c r="AI9" s="2">
        <f t="shared" si="0"/>
        <v>712673.2</v>
      </c>
      <c r="AJ9" s="39">
        <f>AG10/AH10</f>
        <v>6.0824798455950797E-2</v>
      </c>
      <c r="AK9" s="2">
        <f t="shared" ref="AK9:AZ9" si="1">AVERAGE(AK12:AK182)</f>
        <v>78408.871345029242</v>
      </c>
      <c r="AL9" s="2">
        <f t="shared" si="1"/>
        <v>319.26783625730997</v>
      </c>
      <c r="AM9" s="2">
        <f t="shared" si="1"/>
        <v>116254.90643274854</v>
      </c>
      <c r="AN9" s="2">
        <f t="shared" si="1"/>
        <v>84.758823529411771</v>
      </c>
      <c r="AO9" s="2">
        <f t="shared" si="1"/>
        <v>92858.274853801166</v>
      </c>
      <c r="AP9" s="2">
        <f t="shared" si="1"/>
        <v>1067.6842105263158</v>
      </c>
      <c r="AQ9" s="2">
        <f t="shared" si="1"/>
        <v>280.99415204678365</v>
      </c>
      <c r="AR9" s="2">
        <f t="shared" si="1"/>
        <v>979.16959064327489</v>
      </c>
      <c r="AS9" s="2">
        <f t="shared" si="1"/>
        <v>3280.906432748538</v>
      </c>
      <c r="AT9" s="2">
        <f t="shared" si="1"/>
        <v>2142.0292397660819</v>
      </c>
      <c r="AU9" s="2">
        <f t="shared" si="1"/>
        <v>-214.78070175438597</v>
      </c>
      <c r="AV9" s="2">
        <f t="shared" si="1"/>
        <v>-991.00877192982455</v>
      </c>
      <c r="AW9" s="2">
        <f t="shared" si="1"/>
        <v>-492.02366863905326</v>
      </c>
      <c r="AX9" s="2">
        <f t="shared" si="1"/>
        <v>-5.9529411764705884</v>
      </c>
      <c r="AY9" s="2">
        <f t="shared" si="1"/>
        <v>3724.9415204678362</v>
      </c>
      <c r="AZ9" s="2">
        <f t="shared" si="1"/>
        <v>26.12280701754386</v>
      </c>
      <c r="BA9" s="42" t="s">
        <v>406</v>
      </c>
      <c r="BB9" s="42" t="s">
        <v>406</v>
      </c>
      <c r="BC9" s="42" t="s">
        <v>406</v>
      </c>
      <c r="BD9" s="42" t="s">
        <v>406</v>
      </c>
    </row>
    <row r="10" spans="1:56" x14ac:dyDescent="0.25">
      <c r="A10" s="35"/>
      <c r="B10" s="36" t="s">
        <v>410</v>
      </c>
      <c r="C10" s="21"/>
      <c r="D10" s="36"/>
      <c r="E10" s="37"/>
      <c r="F10" s="37"/>
      <c r="G10" s="37"/>
      <c r="H10" s="2">
        <f t="shared" ref="H10:O10" si="2">SUM(H12:H182)</f>
        <v>2622610129</v>
      </c>
      <c r="I10" s="2">
        <f t="shared" si="2"/>
        <v>112380538</v>
      </c>
      <c r="J10" s="2">
        <f t="shared" si="2"/>
        <v>1382780488</v>
      </c>
      <c r="K10" s="2">
        <f t="shared" si="2"/>
        <v>244042513</v>
      </c>
      <c r="L10" s="2">
        <f t="shared" si="2"/>
        <v>465842310</v>
      </c>
      <c r="M10" s="2">
        <f t="shared" si="2"/>
        <v>208853622</v>
      </c>
      <c r="N10" s="2">
        <f t="shared" si="2"/>
        <v>2670862</v>
      </c>
      <c r="O10" s="2">
        <f t="shared" si="2"/>
        <v>2444347535</v>
      </c>
      <c r="P10" s="40" t="s">
        <v>405</v>
      </c>
      <c r="Q10" s="2">
        <f>SUM(Q12:Q182)</f>
        <v>123605180</v>
      </c>
      <c r="R10" s="38" t="s">
        <v>405</v>
      </c>
      <c r="S10" s="2">
        <f t="shared" ref="S10:AI10" si="3">SUM(S12:S182)</f>
        <v>129262901</v>
      </c>
      <c r="T10" s="2">
        <f t="shared" si="3"/>
        <v>557093</v>
      </c>
      <c r="U10" s="2">
        <f t="shared" si="3"/>
        <v>9946826.2899999991</v>
      </c>
      <c r="V10" s="2">
        <f t="shared" si="3"/>
        <v>56668399</v>
      </c>
      <c r="W10" s="2">
        <f t="shared" si="3"/>
        <v>4781547</v>
      </c>
      <c r="X10" s="2">
        <f t="shared" si="3"/>
        <v>10439199</v>
      </c>
      <c r="Y10" s="2">
        <f t="shared" si="3"/>
        <v>10158440</v>
      </c>
      <c r="Z10" s="2">
        <f t="shared" si="3"/>
        <v>1170406</v>
      </c>
      <c r="AA10" s="2">
        <f t="shared" si="3"/>
        <v>4934336</v>
      </c>
      <c r="AB10" s="2">
        <f t="shared" si="3"/>
        <v>1262172</v>
      </c>
      <c r="AC10" s="2">
        <f t="shared" si="3"/>
        <v>11740918</v>
      </c>
      <c r="AD10" s="2">
        <f t="shared" si="3"/>
        <v>1159469</v>
      </c>
      <c r="AE10" s="2">
        <f t="shared" si="3"/>
        <v>948873</v>
      </c>
      <c r="AF10" s="2">
        <f t="shared" si="3"/>
        <v>5060402</v>
      </c>
      <c r="AG10" s="2">
        <f t="shared" si="3"/>
        <v>7180375</v>
      </c>
      <c r="AH10" s="2">
        <f t="shared" si="3"/>
        <v>118050124</v>
      </c>
      <c r="AI10" s="2">
        <f t="shared" si="3"/>
        <v>121154444</v>
      </c>
      <c r="AJ10" s="2" t="s">
        <v>405</v>
      </c>
      <c r="AK10" s="2">
        <f t="shared" ref="AK10:AZ10" si="4">SUM(AK12:AK182)</f>
        <v>13407917</v>
      </c>
      <c r="AL10" s="2">
        <f t="shared" si="4"/>
        <v>54594.8</v>
      </c>
      <c r="AM10" s="2">
        <f t="shared" si="4"/>
        <v>19879589</v>
      </c>
      <c r="AN10" s="2">
        <f t="shared" si="4"/>
        <v>14409</v>
      </c>
      <c r="AO10" s="2">
        <f t="shared" si="4"/>
        <v>15878765</v>
      </c>
      <c r="AP10" s="2">
        <f t="shared" si="4"/>
        <v>182574</v>
      </c>
      <c r="AQ10" s="2">
        <f t="shared" si="4"/>
        <v>48050</v>
      </c>
      <c r="AR10" s="2">
        <f t="shared" si="4"/>
        <v>167438</v>
      </c>
      <c r="AS10" s="2">
        <f t="shared" si="4"/>
        <v>561035</v>
      </c>
      <c r="AT10" s="2">
        <f t="shared" si="4"/>
        <v>366287</v>
      </c>
      <c r="AU10" s="2">
        <f t="shared" si="4"/>
        <v>-36727.5</v>
      </c>
      <c r="AV10" s="2">
        <f t="shared" si="4"/>
        <v>-169462.5</v>
      </c>
      <c r="AW10" s="2">
        <f t="shared" si="4"/>
        <v>-83152</v>
      </c>
      <c r="AX10" s="2">
        <f t="shared" si="4"/>
        <v>-1012</v>
      </c>
      <c r="AY10" s="2">
        <f t="shared" si="4"/>
        <v>636965</v>
      </c>
      <c r="AZ10" s="2">
        <f t="shared" si="4"/>
        <v>4467</v>
      </c>
      <c r="BA10" s="42" t="s">
        <v>406</v>
      </c>
      <c r="BB10" s="42" t="s">
        <v>406</v>
      </c>
      <c r="BC10" s="42" t="s">
        <v>406</v>
      </c>
      <c r="BD10" s="42" t="s">
        <v>406</v>
      </c>
    </row>
    <row r="11" spans="1:56" x14ac:dyDescent="0.25">
      <c r="A11" s="19"/>
      <c r="B11" s="5"/>
      <c r="C11" s="5"/>
      <c r="D11" s="8"/>
      <c r="E11" s="5"/>
      <c r="F11" s="5"/>
      <c r="G11" s="5"/>
      <c r="H11" s="8"/>
      <c r="I11" s="8"/>
      <c r="J11" s="8"/>
      <c r="K11" s="8"/>
      <c r="L11" s="8"/>
      <c r="M11" s="8"/>
      <c r="N11" s="8"/>
      <c r="O11" s="8"/>
      <c r="P11" s="22"/>
      <c r="Q11" s="8" t="s">
        <v>0</v>
      </c>
      <c r="R11" s="25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10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19"/>
      <c r="BA11" s="8"/>
      <c r="BB11" s="8"/>
      <c r="BC11" s="8"/>
      <c r="BD11" s="8"/>
    </row>
    <row r="12" spans="1:56" x14ac:dyDescent="0.25">
      <c r="A12" s="1">
        <v>1</v>
      </c>
      <c r="B12" s="1" t="s">
        <v>49</v>
      </c>
      <c r="C12" s="4" t="s">
        <v>501</v>
      </c>
      <c r="D12" s="1" t="s">
        <v>80</v>
      </c>
      <c r="E12" s="1" t="s">
        <v>350</v>
      </c>
      <c r="F12" s="7"/>
      <c r="G12" s="7" t="s">
        <v>363</v>
      </c>
      <c r="H12" s="10">
        <v>20185668</v>
      </c>
      <c r="I12" s="10">
        <v>657388</v>
      </c>
      <c r="J12" s="10">
        <v>11330014</v>
      </c>
      <c r="K12" s="10">
        <v>2209992</v>
      </c>
      <c r="L12" s="10">
        <v>3759340</v>
      </c>
      <c r="M12" s="10">
        <v>270668</v>
      </c>
      <c r="N12" s="10">
        <v>38099</v>
      </c>
      <c r="O12" s="10">
        <v>18511673</v>
      </c>
      <c r="P12" s="23">
        <v>0.18</v>
      </c>
      <c r="Q12" s="10">
        <v>0</v>
      </c>
      <c r="R12" s="27">
        <f>809908/18473574</f>
        <v>4.3841435338933331E-2</v>
      </c>
      <c r="S12" s="10">
        <v>809014</v>
      </c>
      <c r="T12" s="10">
        <v>0</v>
      </c>
      <c r="U12" s="10">
        <f>133711+3132</f>
        <v>136843</v>
      </c>
      <c r="V12" s="10">
        <v>371000</v>
      </c>
      <c r="W12" s="10">
        <v>37448</v>
      </c>
      <c r="X12" s="10">
        <v>79568</v>
      </c>
      <c r="Y12" s="10">
        <f>82447+6373</f>
        <v>88820</v>
      </c>
      <c r="Z12" s="10">
        <v>2248</v>
      </c>
      <c r="AA12" s="10">
        <v>124156</v>
      </c>
      <c r="AB12" s="10">
        <v>12865</v>
      </c>
      <c r="AC12" s="10">
        <f>7610+18340+17346</f>
        <v>43296</v>
      </c>
      <c r="AD12" s="10">
        <v>6827</v>
      </c>
      <c r="AE12" s="10">
        <v>3781</v>
      </c>
      <c r="AF12" s="10">
        <v>29682</v>
      </c>
      <c r="AG12" s="10">
        <v>0</v>
      </c>
      <c r="AH12" s="10">
        <v>865870</v>
      </c>
      <c r="AI12" s="10">
        <v>874032</v>
      </c>
      <c r="AJ12" s="23">
        <f t="shared" ref="AJ12:AJ43" si="5">AG12/AH12</f>
        <v>0</v>
      </c>
      <c r="AK12" s="10">
        <v>121637</v>
      </c>
      <c r="AL12" s="10">
        <v>0</v>
      </c>
      <c r="AM12" s="10">
        <v>126617</v>
      </c>
      <c r="AN12" s="10">
        <v>144</v>
      </c>
      <c r="AO12" s="10">
        <v>111750</v>
      </c>
      <c r="AP12" s="10">
        <v>0</v>
      </c>
      <c r="AQ12" s="10">
        <v>0</v>
      </c>
      <c r="AR12" s="10">
        <v>0</v>
      </c>
      <c r="AS12" s="10">
        <v>3528</v>
      </c>
      <c r="AT12" s="10">
        <v>1799</v>
      </c>
      <c r="AU12" s="10">
        <v>-108</v>
      </c>
      <c r="AV12" s="10">
        <v>-1446</v>
      </c>
      <c r="AW12" s="10">
        <v>-483</v>
      </c>
      <c r="AX12" s="10">
        <f>204-23</f>
        <v>181</v>
      </c>
      <c r="AY12" s="10">
        <f t="shared" ref="AY12:AY43" si="6">SUM(AS12:AX12)</f>
        <v>3471</v>
      </c>
      <c r="AZ12" s="1">
        <v>71</v>
      </c>
      <c r="BA12" s="1" t="s">
        <v>404</v>
      </c>
      <c r="BB12" s="1" t="s">
        <v>404</v>
      </c>
      <c r="BC12" s="1" t="s">
        <v>404</v>
      </c>
      <c r="BD12" s="1" t="s">
        <v>404</v>
      </c>
    </row>
    <row r="13" spans="1:56" x14ac:dyDescent="0.25">
      <c r="A13" s="1">
        <v>1</v>
      </c>
      <c r="B13" s="1" t="s">
        <v>84</v>
      </c>
      <c r="C13" s="7" t="s">
        <v>296</v>
      </c>
      <c r="D13" s="1" t="s">
        <v>478</v>
      </c>
      <c r="E13" s="1" t="s">
        <v>500</v>
      </c>
      <c r="F13" s="7"/>
      <c r="G13" s="7" t="s">
        <v>499</v>
      </c>
      <c r="H13" s="10">
        <v>2870697</v>
      </c>
      <c r="I13" s="10">
        <v>271755</v>
      </c>
      <c r="J13" s="10">
        <v>1193449</v>
      </c>
      <c r="K13" s="10">
        <v>479097</v>
      </c>
      <c r="L13" s="10">
        <v>385701</v>
      </c>
      <c r="M13" s="10">
        <v>39991</v>
      </c>
      <c r="N13" s="10">
        <v>765</v>
      </c>
      <c r="O13" s="10">
        <v>2384662</v>
      </c>
      <c r="P13" s="23">
        <v>0.15</v>
      </c>
      <c r="Q13" s="10">
        <v>0</v>
      </c>
      <c r="R13" s="27">
        <f>204274/2384662</f>
        <v>8.5661615776156122E-2</v>
      </c>
      <c r="S13" s="10">
        <v>204207</v>
      </c>
      <c r="T13" s="10">
        <v>0</v>
      </c>
      <c r="U13" s="10">
        <f>3211+199+134</f>
        <v>3544</v>
      </c>
      <c r="V13" s="10">
        <v>31127</v>
      </c>
      <c r="W13" s="10">
        <v>2656</v>
      </c>
      <c r="X13" s="10">
        <v>4056</v>
      </c>
      <c r="Y13" s="10">
        <v>10805</v>
      </c>
      <c r="Z13" s="10">
        <v>1750</v>
      </c>
      <c r="AA13" s="10">
        <v>3664</v>
      </c>
      <c r="AB13" s="10">
        <v>0</v>
      </c>
      <c r="AC13" s="10">
        <f>1808+3575+4583</f>
        <v>9966</v>
      </c>
      <c r="AD13" s="10">
        <v>0</v>
      </c>
      <c r="AE13" s="10">
        <v>1427</v>
      </c>
      <c r="AF13" s="10">
        <v>0</v>
      </c>
      <c r="AG13" s="10">
        <v>58472</v>
      </c>
      <c r="AH13" s="10">
        <v>73150</v>
      </c>
      <c r="AI13" s="10">
        <v>72167</v>
      </c>
      <c r="AJ13" s="23">
        <f t="shared" si="5"/>
        <v>0.79934381408065613</v>
      </c>
      <c r="AK13" s="10">
        <v>506</v>
      </c>
      <c r="AL13" s="10">
        <v>0</v>
      </c>
      <c r="AM13" s="10">
        <v>123984</v>
      </c>
      <c r="AN13" s="10">
        <v>0</v>
      </c>
      <c r="AO13" s="10">
        <v>11888</v>
      </c>
      <c r="AP13" s="10">
        <v>0</v>
      </c>
      <c r="AQ13" s="10">
        <v>0</v>
      </c>
      <c r="AR13" s="10">
        <v>0</v>
      </c>
      <c r="AS13" s="10">
        <v>366</v>
      </c>
      <c r="AT13" s="10">
        <v>211</v>
      </c>
      <c r="AU13" s="10">
        <v>-62</v>
      </c>
      <c r="AV13" s="10">
        <v>-71</v>
      </c>
      <c r="AW13" s="10">
        <v>-56</v>
      </c>
      <c r="AX13" s="10">
        <f>19-4</f>
        <v>15</v>
      </c>
      <c r="AY13" s="10">
        <f t="shared" si="6"/>
        <v>403</v>
      </c>
      <c r="AZ13" s="1">
        <v>0</v>
      </c>
      <c r="BA13" s="1" t="s">
        <v>404</v>
      </c>
      <c r="BB13" s="1" t="s">
        <v>404</v>
      </c>
      <c r="BC13" s="1" t="s">
        <v>404</v>
      </c>
      <c r="BD13" s="1" t="s">
        <v>404</v>
      </c>
    </row>
    <row r="14" spans="1:56" x14ac:dyDescent="0.25">
      <c r="A14" s="1">
        <v>1</v>
      </c>
      <c r="B14" s="1" t="s">
        <v>210</v>
      </c>
      <c r="C14" s="7" t="s">
        <v>464</v>
      </c>
      <c r="D14" s="1" t="s">
        <v>93</v>
      </c>
      <c r="E14" s="1" t="s">
        <v>370</v>
      </c>
      <c r="F14" s="7"/>
      <c r="G14" s="7" t="s">
        <v>354</v>
      </c>
      <c r="H14" s="10">
        <v>4187118</v>
      </c>
      <c r="I14" s="10">
        <v>296922</v>
      </c>
      <c r="J14" s="10">
        <v>1886560</v>
      </c>
      <c r="K14" s="10">
        <v>448247</v>
      </c>
      <c r="L14" s="10">
        <v>588014</v>
      </c>
      <c r="M14" s="10">
        <v>189638</v>
      </c>
      <c r="N14" s="10">
        <v>0</v>
      </c>
      <c r="O14" s="10">
        <v>3459095</v>
      </c>
      <c r="P14" s="23">
        <v>0.27</v>
      </c>
      <c r="Q14" s="10">
        <v>0</v>
      </c>
      <c r="R14" s="27">
        <f>282062/3454096</f>
        <v>8.1660150731189873E-2</v>
      </c>
      <c r="S14" s="10">
        <v>263649</v>
      </c>
      <c r="T14" s="10">
        <v>0</v>
      </c>
      <c r="U14" s="10">
        <f>13909+223+233</f>
        <v>14365</v>
      </c>
      <c r="V14" s="10">
        <v>59536</v>
      </c>
      <c r="W14" s="10">
        <v>6010</v>
      </c>
      <c r="X14" s="10">
        <v>3383</v>
      </c>
      <c r="Y14" s="10">
        <f>9158+1991</f>
        <v>11149</v>
      </c>
      <c r="Z14" s="10">
        <v>0</v>
      </c>
      <c r="AA14" s="10">
        <v>4931</v>
      </c>
      <c r="AB14" s="10">
        <v>1538</v>
      </c>
      <c r="AC14" s="10">
        <f>6364+11216+8581</f>
        <v>26161</v>
      </c>
      <c r="AD14" s="10">
        <v>2456</v>
      </c>
      <c r="AE14" s="10">
        <v>538</v>
      </c>
      <c r="AF14" s="10">
        <v>3388</v>
      </c>
      <c r="AG14" s="10">
        <v>0</v>
      </c>
      <c r="AH14" s="10">
        <v>143652</v>
      </c>
      <c r="AI14" s="10">
        <v>144848</v>
      </c>
      <c r="AJ14" s="23">
        <f t="shared" si="5"/>
        <v>0</v>
      </c>
      <c r="AK14" s="10">
        <v>11896</v>
      </c>
      <c r="AL14" s="10">
        <v>0</v>
      </c>
      <c r="AM14" s="10">
        <v>126883</v>
      </c>
      <c r="AN14" s="10">
        <v>410</v>
      </c>
      <c r="AO14" s="10">
        <v>19487</v>
      </c>
      <c r="AP14" s="10">
        <v>0</v>
      </c>
      <c r="AQ14" s="10">
        <v>0</v>
      </c>
      <c r="AR14" s="10">
        <v>0</v>
      </c>
      <c r="AS14" s="10">
        <v>809</v>
      </c>
      <c r="AT14" s="10">
        <v>381</v>
      </c>
      <c r="AU14" s="10">
        <v>-74</v>
      </c>
      <c r="AV14" s="10">
        <v>-88</v>
      </c>
      <c r="AW14" s="10">
        <v>-146</v>
      </c>
      <c r="AX14" s="10">
        <f>6-1</f>
        <v>5</v>
      </c>
      <c r="AY14" s="10">
        <f t="shared" si="6"/>
        <v>887</v>
      </c>
      <c r="AZ14" s="1">
        <v>6</v>
      </c>
      <c r="BA14" s="1">
        <v>40</v>
      </c>
      <c r="BB14" s="1">
        <v>15</v>
      </c>
      <c r="BC14" s="1">
        <v>91</v>
      </c>
      <c r="BD14" s="1">
        <v>0</v>
      </c>
    </row>
    <row r="15" spans="1:56" x14ac:dyDescent="0.25">
      <c r="A15" s="1">
        <v>1</v>
      </c>
      <c r="B15" s="1" t="s">
        <v>454</v>
      </c>
      <c r="C15" s="7" t="s">
        <v>166</v>
      </c>
      <c r="D15" s="1" t="s">
        <v>645</v>
      </c>
      <c r="E15" s="1" t="s">
        <v>350</v>
      </c>
      <c r="F15" s="7"/>
      <c r="G15" s="7" t="s">
        <v>363</v>
      </c>
      <c r="H15" s="10">
        <v>6216773</v>
      </c>
      <c r="I15" s="10">
        <v>292270</v>
      </c>
      <c r="J15" s="10">
        <v>2753838</v>
      </c>
      <c r="K15" s="10">
        <v>985047</v>
      </c>
      <c r="L15" s="10">
        <v>1233112</v>
      </c>
      <c r="M15" s="10">
        <v>247227</v>
      </c>
      <c r="N15" s="10">
        <v>26800</v>
      </c>
      <c r="O15" s="10">
        <v>5627980</v>
      </c>
      <c r="P15" s="23">
        <v>0.22</v>
      </c>
      <c r="Q15" s="10">
        <v>0</v>
      </c>
      <c r="R15" s="27">
        <f>384000/5601180</f>
        <v>6.8556982635801747E-2</v>
      </c>
      <c r="S15" s="10">
        <v>384341</v>
      </c>
      <c r="T15" s="10">
        <v>0</v>
      </c>
      <c r="U15" s="10">
        <f>32969+2653+839</f>
        <v>36461</v>
      </c>
      <c r="V15" s="10">
        <v>123113</v>
      </c>
      <c r="W15" s="10">
        <v>13792</v>
      </c>
      <c r="X15" s="10">
        <v>19038</v>
      </c>
      <c r="Y15" s="10">
        <v>21699</v>
      </c>
      <c r="Z15" s="10">
        <v>2797</v>
      </c>
      <c r="AA15" s="10">
        <v>62355</v>
      </c>
      <c r="AB15" s="10">
        <v>3227</v>
      </c>
      <c r="AC15" s="10">
        <f>5074+8805+7018</f>
        <v>20897</v>
      </c>
      <c r="AD15" s="10">
        <v>4762</v>
      </c>
      <c r="AE15" s="10">
        <v>1492</v>
      </c>
      <c r="AF15" s="10">
        <v>14643</v>
      </c>
      <c r="AG15" s="10">
        <v>0</v>
      </c>
      <c r="AH15" s="10">
        <v>319805</v>
      </c>
      <c r="AI15" s="10">
        <v>329680</v>
      </c>
      <c r="AJ15" s="23">
        <f t="shared" si="5"/>
        <v>0</v>
      </c>
      <c r="AK15" s="10">
        <v>44848</v>
      </c>
      <c r="AL15" s="10">
        <v>1037</v>
      </c>
      <c r="AM15" s="10">
        <v>126470</v>
      </c>
      <c r="AN15" s="10">
        <v>0</v>
      </c>
      <c r="AO15" s="10">
        <v>43247</v>
      </c>
      <c r="AP15" s="10">
        <v>0</v>
      </c>
      <c r="AQ15" s="10">
        <v>0</v>
      </c>
      <c r="AR15" s="10">
        <v>0</v>
      </c>
      <c r="AS15" s="10">
        <v>1458</v>
      </c>
      <c r="AT15" s="10">
        <v>1369</v>
      </c>
      <c r="AU15" s="10">
        <v>-255</v>
      </c>
      <c r="AV15" s="10">
        <v>-636</v>
      </c>
      <c r="AW15" s="10">
        <v>-80</v>
      </c>
      <c r="AX15" s="10">
        <v>-12</v>
      </c>
      <c r="AY15" s="10">
        <f t="shared" si="6"/>
        <v>1844</v>
      </c>
      <c r="AZ15" s="1">
        <v>0</v>
      </c>
      <c r="BA15" s="1" t="s">
        <v>404</v>
      </c>
      <c r="BB15" s="1" t="s">
        <v>404</v>
      </c>
      <c r="BC15" s="1" t="s">
        <v>404</v>
      </c>
      <c r="BD15" s="1" t="s">
        <v>404</v>
      </c>
    </row>
    <row r="16" spans="1:56" x14ac:dyDescent="0.25">
      <c r="A16" s="1">
        <v>1</v>
      </c>
      <c r="B16" s="1" t="s">
        <v>575</v>
      </c>
      <c r="C16" s="7" t="s">
        <v>330</v>
      </c>
      <c r="D16" s="1" t="s">
        <v>34</v>
      </c>
      <c r="E16" s="1" t="s">
        <v>422</v>
      </c>
      <c r="F16" s="7"/>
      <c r="G16" s="7" t="s">
        <v>416</v>
      </c>
      <c r="H16" s="10">
        <v>2719498</v>
      </c>
      <c r="I16" s="10">
        <v>177972</v>
      </c>
      <c r="J16" s="10">
        <v>631335</v>
      </c>
      <c r="K16" s="10">
        <v>613634</v>
      </c>
      <c r="L16" s="10">
        <v>622305</v>
      </c>
      <c r="M16" s="10">
        <v>39533</v>
      </c>
      <c r="N16" s="10">
        <v>10929</v>
      </c>
      <c r="O16" s="10">
        <v>2120385</v>
      </c>
      <c r="P16" s="23">
        <v>0.25</v>
      </c>
      <c r="Q16" s="10">
        <v>0</v>
      </c>
      <c r="R16" s="27">
        <f>200846/2098717</f>
        <v>9.5699420169560734E-2</v>
      </c>
      <c r="S16" s="10">
        <v>199806</v>
      </c>
      <c r="T16" s="10">
        <v>0</v>
      </c>
      <c r="U16" s="10">
        <f>5060+254</f>
        <v>5314</v>
      </c>
      <c r="V16" s="10">
        <v>39011</v>
      </c>
      <c r="W16" s="10">
        <v>4091</v>
      </c>
      <c r="X16" s="10">
        <v>5043</v>
      </c>
      <c r="Y16" s="10">
        <f>7524+516</f>
        <v>8040</v>
      </c>
      <c r="Z16" s="10">
        <v>0</v>
      </c>
      <c r="AA16" s="10">
        <v>5217</v>
      </c>
      <c r="AB16" s="10">
        <v>900</v>
      </c>
      <c r="AC16" s="10">
        <f>1171+6663+2332</f>
        <v>10166</v>
      </c>
      <c r="AD16" s="10">
        <v>2176</v>
      </c>
      <c r="AE16" s="10">
        <v>0</v>
      </c>
      <c r="AF16" s="10">
        <v>2400</v>
      </c>
      <c r="AG16" s="10">
        <v>9918</v>
      </c>
      <c r="AH16" s="10">
        <v>89166</v>
      </c>
      <c r="AI16" s="10">
        <v>90375</v>
      </c>
      <c r="AJ16" s="23">
        <f t="shared" si="5"/>
        <v>0.11123073817374335</v>
      </c>
      <c r="AK16" s="10">
        <v>8583</v>
      </c>
      <c r="AL16" s="10">
        <v>0</v>
      </c>
      <c r="AM16" s="10">
        <v>125000</v>
      </c>
      <c r="AN16" s="10">
        <v>0</v>
      </c>
      <c r="AO16" s="10">
        <v>10639</v>
      </c>
      <c r="AP16" s="10">
        <v>0</v>
      </c>
      <c r="AQ16" s="10">
        <v>0</v>
      </c>
      <c r="AR16" s="10">
        <v>0</v>
      </c>
      <c r="AS16" s="10">
        <v>556</v>
      </c>
      <c r="AT16" s="10">
        <v>303</v>
      </c>
      <c r="AU16" s="10">
        <v>-77</v>
      </c>
      <c r="AV16" s="10">
        <v>-108</v>
      </c>
      <c r="AW16" s="10">
        <v>-114</v>
      </c>
      <c r="AX16" s="10">
        <v>0</v>
      </c>
      <c r="AY16" s="10">
        <f t="shared" si="6"/>
        <v>560</v>
      </c>
      <c r="AZ16" s="1">
        <v>0</v>
      </c>
      <c r="BA16" s="1" t="s">
        <v>404</v>
      </c>
      <c r="BB16" s="1" t="s">
        <v>404</v>
      </c>
      <c r="BC16" s="1" t="s">
        <v>404</v>
      </c>
      <c r="BD16" s="1" t="s">
        <v>404</v>
      </c>
    </row>
    <row r="17" spans="1:56" x14ac:dyDescent="0.25">
      <c r="A17" s="1">
        <v>2</v>
      </c>
      <c r="B17" s="1" t="s">
        <v>94</v>
      </c>
      <c r="C17" s="1" t="s">
        <v>613</v>
      </c>
      <c r="D17" s="1" t="s">
        <v>252</v>
      </c>
      <c r="E17" s="1" t="s">
        <v>149</v>
      </c>
      <c r="F17" s="7"/>
      <c r="G17" s="7" t="s">
        <v>138</v>
      </c>
      <c r="H17" s="10">
        <v>2754748</v>
      </c>
      <c r="I17" s="10">
        <v>251525</v>
      </c>
      <c r="J17" s="10">
        <v>1822518</v>
      </c>
      <c r="K17" s="10">
        <v>342014</v>
      </c>
      <c r="L17" s="10">
        <v>199002</v>
      </c>
      <c r="M17" s="10">
        <v>4250</v>
      </c>
      <c r="N17" s="10">
        <v>3150</v>
      </c>
      <c r="O17" s="10">
        <v>2645554</v>
      </c>
      <c r="P17" s="23">
        <v>0.16</v>
      </c>
      <c r="Q17" s="10">
        <v>0</v>
      </c>
      <c r="R17" s="27">
        <f>262314/2642404</f>
        <v>9.9270966892269316E-2</v>
      </c>
      <c r="S17" s="10">
        <v>272994</v>
      </c>
      <c r="T17" s="10">
        <v>0</v>
      </c>
      <c r="U17" s="10">
        <f>11321+650</f>
        <v>11971</v>
      </c>
      <c r="V17" s="10">
        <v>66536</v>
      </c>
      <c r="W17" s="10">
        <v>4891</v>
      </c>
      <c r="X17" s="10">
        <v>3690</v>
      </c>
      <c r="Y17" s="10">
        <v>27394</v>
      </c>
      <c r="Z17" s="10">
        <v>15620</v>
      </c>
      <c r="AA17" s="10">
        <v>8527</v>
      </c>
      <c r="AB17" s="10">
        <v>0</v>
      </c>
      <c r="AC17" s="10">
        <f>4167+2782+7810</f>
        <v>14759</v>
      </c>
      <c r="AD17" s="10">
        <v>4141</v>
      </c>
      <c r="AE17" s="10">
        <v>0</v>
      </c>
      <c r="AF17" s="10">
        <v>15640</v>
      </c>
      <c r="AG17" s="10">
        <v>106785</v>
      </c>
      <c r="AH17" s="10">
        <v>168648</v>
      </c>
      <c r="AI17" s="10">
        <v>178663</v>
      </c>
      <c r="AJ17" s="23">
        <f t="shared" si="5"/>
        <v>0.63318272377970686</v>
      </c>
      <c r="AK17" s="10">
        <v>0</v>
      </c>
      <c r="AL17" s="10">
        <v>0</v>
      </c>
      <c r="AM17" s="10">
        <v>125161</v>
      </c>
      <c r="AN17" s="10">
        <v>0</v>
      </c>
      <c r="AO17" s="10">
        <v>4540</v>
      </c>
      <c r="AP17" s="10">
        <v>0</v>
      </c>
      <c r="AQ17" s="10">
        <v>0</v>
      </c>
      <c r="AR17" s="10">
        <v>0</v>
      </c>
      <c r="AS17" s="10">
        <v>0</v>
      </c>
      <c r="AT17" s="10">
        <v>212</v>
      </c>
      <c r="AU17" s="10">
        <v>-30</v>
      </c>
      <c r="AV17" s="10">
        <v>-85</v>
      </c>
      <c r="AW17" s="10">
        <v>-25</v>
      </c>
      <c r="AX17" s="10">
        <f>556-1</f>
        <v>555</v>
      </c>
      <c r="AY17" s="10">
        <f t="shared" si="6"/>
        <v>627</v>
      </c>
      <c r="AZ17" s="1">
        <v>7</v>
      </c>
      <c r="BA17" s="1">
        <v>6</v>
      </c>
      <c r="BB17" s="1">
        <v>3</v>
      </c>
      <c r="BC17" s="1">
        <v>8</v>
      </c>
      <c r="BD17" s="1">
        <v>8</v>
      </c>
    </row>
    <row r="18" spans="1:56" x14ac:dyDescent="0.25">
      <c r="A18" s="1">
        <v>2</v>
      </c>
      <c r="B18" s="1" t="s">
        <v>110</v>
      </c>
      <c r="C18" s="7" t="s">
        <v>38</v>
      </c>
      <c r="D18" s="1" t="s">
        <v>28</v>
      </c>
      <c r="E18" s="1" t="s">
        <v>434</v>
      </c>
      <c r="F18" s="7" t="s">
        <v>429</v>
      </c>
      <c r="G18" s="7" t="s">
        <v>420</v>
      </c>
      <c r="H18" s="10">
        <v>14225760</v>
      </c>
      <c r="I18" s="10">
        <v>672215</v>
      </c>
      <c r="J18" s="10">
        <v>5001853</v>
      </c>
      <c r="K18" s="10">
        <v>1512455</v>
      </c>
      <c r="L18" s="10">
        <v>4493825</v>
      </c>
      <c r="M18" s="10">
        <v>1770751</v>
      </c>
      <c r="N18" s="10">
        <v>2335</v>
      </c>
      <c r="O18" s="10">
        <v>13322126</v>
      </c>
      <c r="P18" s="23">
        <v>2.3E-2</v>
      </c>
      <c r="Q18" s="10">
        <v>4423</v>
      </c>
      <c r="R18" s="27">
        <f>(540233)/(13322126)</f>
        <v>4.0551560614274326E-2</v>
      </c>
      <c r="S18" s="10">
        <v>540290</v>
      </c>
      <c r="T18" s="10">
        <v>0</v>
      </c>
      <c r="U18" s="10">
        <f>109308+1036</f>
        <v>110344</v>
      </c>
      <c r="V18" s="10">
        <v>235166</v>
      </c>
      <c r="W18" s="10">
        <v>20629</v>
      </c>
      <c r="X18" s="10">
        <v>39195</v>
      </c>
      <c r="Y18" s="10">
        <f>54346+4813</f>
        <v>59159</v>
      </c>
      <c r="Z18" s="10">
        <v>13901</v>
      </c>
      <c r="AA18" s="10">
        <v>0</v>
      </c>
      <c r="AB18" s="10">
        <v>817</v>
      </c>
      <c r="AC18" s="10">
        <f>8364+19974+19874</f>
        <v>48212</v>
      </c>
      <c r="AD18" s="10">
        <v>8787</v>
      </c>
      <c r="AE18" s="10">
        <v>1227</v>
      </c>
      <c r="AF18" s="10">
        <v>8489</v>
      </c>
      <c r="AG18" s="10">
        <v>0</v>
      </c>
      <c r="AH18" s="10">
        <v>522092</v>
      </c>
      <c r="AI18" s="10">
        <v>532383</v>
      </c>
      <c r="AJ18" s="23">
        <f t="shared" si="5"/>
        <v>0</v>
      </c>
      <c r="AK18" s="10">
        <v>61319</v>
      </c>
      <c r="AL18" s="10">
        <v>0</v>
      </c>
      <c r="AM18" s="10">
        <v>126473</v>
      </c>
      <c r="AN18" s="10">
        <v>0</v>
      </c>
      <c r="AO18" s="10">
        <v>66023</v>
      </c>
      <c r="AP18" s="10">
        <v>0</v>
      </c>
      <c r="AQ18" s="10">
        <v>0</v>
      </c>
      <c r="AR18" s="10">
        <v>0</v>
      </c>
      <c r="AS18" s="10">
        <v>3604</v>
      </c>
      <c r="AT18" s="10">
        <v>1752</v>
      </c>
      <c r="AU18" s="10">
        <v>-262</v>
      </c>
      <c r="AV18" s="10">
        <v>-532</v>
      </c>
      <c r="AW18" s="10">
        <v>-571</v>
      </c>
      <c r="AX18" s="10">
        <v>29</v>
      </c>
      <c r="AY18" s="10">
        <f t="shared" si="6"/>
        <v>4020</v>
      </c>
      <c r="AZ18" s="1">
        <v>56</v>
      </c>
      <c r="BA18" s="1" t="s">
        <v>406</v>
      </c>
      <c r="BB18" s="1" t="s">
        <v>406</v>
      </c>
      <c r="BC18" s="1" t="s">
        <v>406</v>
      </c>
      <c r="BD18" s="1" t="s">
        <v>406</v>
      </c>
    </row>
    <row r="19" spans="1:56" x14ac:dyDescent="0.25">
      <c r="A19" s="1">
        <v>2</v>
      </c>
      <c r="B19" s="1" t="s">
        <v>169</v>
      </c>
      <c r="C19" s="7" t="s">
        <v>359</v>
      </c>
      <c r="D19" s="1" t="s">
        <v>262</v>
      </c>
      <c r="E19" s="1" t="s">
        <v>434</v>
      </c>
      <c r="F19" s="7" t="s">
        <v>188</v>
      </c>
      <c r="G19" s="7" t="s">
        <v>420</v>
      </c>
      <c r="H19" s="10">
        <v>10689933</v>
      </c>
      <c r="I19" s="10">
        <v>1037248</v>
      </c>
      <c r="J19" s="10">
        <v>6064976</v>
      </c>
      <c r="K19" s="10">
        <v>790254</v>
      </c>
      <c r="L19" s="10">
        <v>1807359</v>
      </c>
      <c r="M19" s="10">
        <v>161004</v>
      </c>
      <c r="N19" s="10">
        <v>30776</v>
      </c>
      <c r="O19" s="10">
        <v>9456525</v>
      </c>
      <c r="P19" s="23">
        <v>0.16</v>
      </c>
      <c r="Q19" s="10">
        <v>0</v>
      </c>
      <c r="R19" s="27">
        <f>(612849)/(9425749)</f>
        <v>6.5018599582908482E-2</v>
      </c>
      <c r="S19" s="10">
        <v>602156</v>
      </c>
      <c r="T19" s="10">
        <v>0</v>
      </c>
      <c r="U19" s="10">
        <f>16899+1222</f>
        <v>18121</v>
      </c>
      <c r="V19" s="10">
        <v>263268</v>
      </c>
      <c r="W19" s="10">
        <v>23047</v>
      </c>
      <c r="X19" s="10">
        <v>43957</v>
      </c>
      <c r="Y19" s="10">
        <f>50769+4760</f>
        <v>55529</v>
      </c>
      <c r="Z19" s="10">
        <v>15736</v>
      </c>
      <c r="AA19" s="10">
        <v>74134</v>
      </c>
      <c r="AB19" s="10">
        <v>2300</v>
      </c>
      <c r="AC19" s="10">
        <f>7809+10084+9082</f>
        <v>26975</v>
      </c>
      <c r="AD19" s="10">
        <v>6006</v>
      </c>
      <c r="AE19" s="10">
        <v>6545</v>
      </c>
      <c r="AF19" s="10">
        <v>5491</v>
      </c>
      <c r="AG19" s="10">
        <v>0</v>
      </c>
      <c r="AH19" s="10">
        <v>540938</v>
      </c>
      <c r="AI19" s="10">
        <v>559667</v>
      </c>
      <c r="AJ19" s="23">
        <f t="shared" si="5"/>
        <v>0</v>
      </c>
      <c r="AK19" s="10">
        <v>68922</v>
      </c>
      <c r="AL19" s="10">
        <v>0</v>
      </c>
      <c r="AM19" s="10">
        <v>126468</v>
      </c>
      <c r="AN19" s="10">
        <v>0</v>
      </c>
      <c r="AO19" s="10">
        <v>52569</v>
      </c>
      <c r="AP19" s="10">
        <v>0</v>
      </c>
      <c r="AQ19" s="10">
        <v>0</v>
      </c>
      <c r="AR19" s="10">
        <v>0</v>
      </c>
      <c r="AS19" s="10">
        <v>1591</v>
      </c>
      <c r="AT19" s="10">
        <v>2401</v>
      </c>
      <c r="AU19" s="10">
        <v>-81</v>
      </c>
      <c r="AV19" s="10">
        <v>-1741</v>
      </c>
      <c r="AW19" s="10">
        <v>-337</v>
      </c>
      <c r="AX19" s="10">
        <v>-22</v>
      </c>
      <c r="AY19" s="10">
        <f t="shared" si="6"/>
        <v>1811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</row>
    <row r="20" spans="1:56" x14ac:dyDescent="0.25">
      <c r="A20" s="1">
        <v>2</v>
      </c>
      <c r="B20" s="1" t="s">
        <v>233</v>
      </c>
      <c r="C20" s="7" t="s">
        <v>573</v>
      </c>
      <c r="D20" s="1" t="s">
        <v>230</v>
      </c>
      <c r="E20" s="1" t="s">
        <v>434</v>
      </c>
      <c r="F20" s="7" t="s">
        <v>188</v>
      </c>
      <c r="G20" s="7" t="s">
        <v>420</v>
      </c>
      <c r="H20" s="10">
        <v>7400449</v>
      </c>
      <c r="I20" s="10">
        <v>1182853</v>
      </c>
      <c r="J20" s="10">
        <v>3982392</v>
      </c>
      <c r="K20" s="10">
        <v>368450</v>
      </c>
      <c r="L20" s="10">
        <v>1550164</v>
      </c>
      <c r="M20" s="10">
        <v>209932</v>
      </c>
      <c r="N20" s="10">
        <v>44520</v>
      </c>
      <c r="O20" s="10">
        <v>6624540</v>
      </c>
      <c r="P20" s="23">
        <v>0.11</v>
      </c>
      <c r="Q20" s="10">
        <v>137585</v>
      </c>
      <c r="R20" s="27">
        <f>473405/6397576</f>
        <v>7.3997557825026233E-2</v>
      </c>
      <c r="S20" s="10">
        <v>469082</v>
      </c>
      <c r="T20" s="10">
        <v>0</v>
      </c>
      <c r="U20" s="10">
        <f>4591+8952+399</f>
        <v>13942</v>
      </c>
      <c r="V20" s="10">
        <v>161338</v>
      </c>
      <c r="W20" s="10">
        <v>16303</v>
      </c>
      <c r="X20" s="10">
        <v>15712</v>
      </c>
      <c r="Y20" s="10">
        <v>39130</v>
      </c>
      <c r="Z20" s="10">
        <v>16375</v>
      </c>
      <c r="AA20" s="10">
        <v>34309</v>
      </c>
      <c r="AB20" s="10">
        <v>5659</v>
      </c>
      <c r="AC20" s="10">
        <f>8329+13725+10111</f>
        <v>32165</v>
      </c>
      <c r="AD20" s="10">
        <v>9232</v>
      </c>
      <c r="AE20" s="10">
        <v>3081</v>
      </c>
      <c r="AF20" s="10">
        <v>26925</v>
      </c>
      <c r="AG20" s="10">
        <v>48433</v>
      </c>
      <c r="AH20" s="10">
        <v>387939</v>
      </c>
      <c r="AI20" s="10">
        <v>437458</v>
      </c>
      <c r="AJ20" s="23">
        <f t="shared" si="5"/>
        <v>0.12484694758712066</v>
      </c>
      <c r="AK20" s="10">
        <v>22461</v>
      </c>
      <c r="AL20" s="10">
        <v>0</v>
      </c>
      <c r="AM20" s="10">
        <v>126473</v>
      </c>
      <c r="AN20" s="10">
        <v>0</v>
      </c>
      <c r="AO20" s="10">
        <v>36892</v>
      </c>
      <c r="AP20" s="10">
        <v>0</v>
      </c>
      <c r="AQ20" s="10">
        <v>0</v>
      </c>
      <c r="AR20" s="10">
        <v>0</v>
      </c>
      <c r="AS20" s="10">
        <v>1981</v>
      </c>
      <c r="AT20" s="10">
        <v>1067</v>
      </c>
      <c r="AU20" s="10">
        <v>-70</v>
      </c>
      <c r="AV20" s="10">
        <v>-965</v>
      </c>
      <c r="AW20" s="10">
        <v>-247</v>
      </c>
      <c r="AX20" s="10">
        <f>6+16</f>
        <v>22</v>
      </c>
      <c r="AY20" s="10">
        <f t="shared" si="6"/>
        <v>1788</v>
      </c>
      <c r="AZ20" s="1">
        <v>7</v>
      </c>
      <c r="BA20" s="1" t="s">
        <v>406</v>
      </c>
      <c r="BB20" s="1" t="s">
        <v>406</v>
      </c>
      <c r="BC20" s="1" t="s">
        <v>406</v>
      </c>
      <c r="BD20" s="1" t="s">
        <v>406</v>
      </c>
    </row>
    <row r="21" spans="1:56" x14ac:dyDescent="0.25">
      <c r="A21" s="1">
        <v>2</v>
      </c>
      <c r="B21" s="1" t="s">
        <v>351</v>
      </c>
      <c r="C21" s="7" t="s">
        <v>378</v>
      </c>
      <c r="D21" s="1" t="s">
        <v>271</v>
      </c>
      <c r="E21" s="1" t="s">
        <v>434</v>
      </c>
      <c r="F21" s="7" t="s">
        <v>188</v>
      </c>
      <c r="G21" s="7" t="s">
        <v>420</v>
      </c>
      <c r="H21" s="10">
        <v>9722088</v>
      </c>
      <c r="I21" s="10">
        <v>1086507</v>
      </c>
      <c r="J21" s="10">
        <v>5491646</v>
      </c>
      <c r="K21" s="10">
        <v>450532</v>
      </c>
      <c r="L21" s="10">
        <v>1816426</v>
      </c>
      <c r="M21" s="10">
        <v>185417</v>
      </c>
      <c r="N21" s="10">
        <v>18700</v>
      </c>
      <c r="O21" s="10">
        <v>8478301</v>
      </c>
      <c r="P21" s="23">
        <v>0.13</v>
      </c>
      <c r="Q21" s="10">
        <v>0</v>
      </c>
      <c r="R21" s="27">
        <f>516036/8459601</f>
        <v>6.1000040072811942E-2</v>
      </c>
      <c r="S21" s="10">
        <v>515580</v>
      </c>
      <c r="T21" s="10">
        <v>0</v>
      </c>
      <c r="U21" s="10">
        <f>39565+697</f>
        <v>40262</v>
      </c>
      <c r="V21" s="10">
        <v>216622</v>
      </c>
      <c r="W21" s="10">
        <v>20138</v>
      </c>
      <c r="X21" s="10">
        <v>32090</v>
      </c>
      <c r="Y21" s="10">
        <v>50420</v>
      </c>
      <c r="Z21" s="10">
        <v>15889</v>
      </c>
      <c r="AA21" s="10">
        <v>51456</v>
      </c>
      <c r="AB21" s="10">
        <v>0</v>
      </c>
      <c r="AC21" s="10">
        <f>12500+12425+14496</f>
        <v>39421</v>
      </c>
      <c r="AD21" s="10">
        <v>5264</v>
      </c>
      <c r="AE21" s="10">
        <v>0</v>
      </c>
      <c r="AF21" s="10">
        <v>4974</v>
      </c>
      <c r="AG21" s="10">
        <v>373143</v>
      </c>
      <c r="AH21" s="10">
        <v>467711</v>
      </c>
      <c r="AI21" s="10">
        <v>495503</v>
      </c>
      <c r="AJ21" s="23">
        <f t="shared" si="5"/>
        <v>0.79780676528882155</v>
      </c>
      <c r="AK21" s="10">
        <v>47598</v>
      </c>
      <c r="AL21" s="10">
        <v>18</v>
      </c>
      <c r="AM21" s="10">
        <v>126473</v>
      </c>
      <c r="AN21" s="10">
        <v>0</v>
      </c>
      <c r="AO21" s="10">
        <v>27938</v>
      </c>
      <c r="AP21" s="10">
        <v>0</v>
      </c>
      <c r="AQ21" s="10">
        <v>0</v>
      </c>
      <c r="AR21" s="10">
        <v>0</v>
      </c>
      <c r="AS21" s="10">
        <v>1622</v>
      </c>
      <c r="AT21" s="10">
        <v>1587</v>
      </c>
      <c r="AU21" s="10">
        <v>-158</v>
      </c>
      <c r="AV21" s="10">
        <v>-1387</v>
      </c>
      <c r="AW21" s="10">
        <v>-157</v>
      </c>
      <c r="AX21" s="10">
        <v>-7</v>
      </c>
      <c r="AY21" s="10">
        <f t="shared" si="6"/>
        <v>1500</v>
      </c>
      <c r="AZ21" s="1">
        <v>4</v>
      </c>
      <c r="BA21" s="1">
        <v>93</v>
      </c>
      <c r="BB21" s="1">
        <v>11</v>
      </c>
      <c r="BC21" s="1">
        <v>52</v>
      </c>
      <c r="BD21" s="1">
        <v>1</v>
      </c>
    </row>
    <row r="22" spans="1:56" x14ac:dyDescent="0.25">
      <c r="A22" s="1">
        <v>2</v>
      </c>
      <c r="B22" s="1" t="s">
        <v>393</v>
      </c>
      <c r="C22" s="7" t="s">
        <v>29</v>
      </c>
      <c r="D22" s="1" t="s">
        <v>95</v>
      </c>
      <c r="E22" s="1" t="s">
        <v>434</v>
      </c>
      <c r="F22" s="7" t="s">
        <v>630</v>
      </c>
      <c r="G22" s="7" t="s">
        <v>420</v>
      </c>
      <c r="H22" s="10">
        <v>15456655</v>
      </c>
      <c r="I22" s="10">
        <v>460237</v>
      </c>
      <c r="J22" s="10">
        <v>7628717</v>
      </c>
      <c r="K22" s="10">
        <v>1039209</v>
      </c>
      <c r="L22" s="10">
        <v>3758179</v>
      </c>
      <c r="M22" s="10">
        <v>1222399</v>
      </c>
      <c r="N22" s="10">
        <v>0</v>
      </c>
      <c r="O22" s="10">
        <v>14710204</v>
      </c>
      <c r="P22" s="23">
        <v>0.06</v>
      </c>
      <c r="Q22" s="10">
        <v>21675</v>
      </c>
      <c r="R22" s="27">
        <f>(1060695)/(14731879)</f>
        <v>7.1999980450558956E-2</v>
      </c>
      <c r="S22" s="10">
        <v>1061700</v>
      </c>
      <c r="T22" s="10">
        <v>0</v>
      </c>
      <c r="U22" s="10">
        <v>21050</v>
      </c>
      <c r="V22" s="10">
        <v>385795</v>
      </c>
      <c r="W22" s="10">
        <v>31999</v>
      </c>
      <c r="X22" s="10">
        <v>82746</v>
      </c>
      <c r="Y22" s="10">
        <f>57830+8577</f>
        <v>66407</v>
      </c>
      <c r="Z22" s="10">
        <v>15243</v>
      </c>
      <c r="AA22" s="10">
        <v>160298</v>
      </c>
      <c r="AB22" s="10">
        <v>0</v>
      </c>
      <c r="AC22" s="10">
        <f>6345+54409+17547</f>
        <v>78301</v>
      </c>
      <c r="AD22" s="10">
        <v>7867</v>
      </c>
      <c r="AE22" s="10">
        <v>0</v>
      </c>
      <c r="AF22" s="10">
        <v>23525</v>
      </c>
      <c r="AG22" s="10">
        <v>57830</v>
      </c>
      <c r="AH22" s="10">
        <v>888078</v>
      </c>
      <c r="AI22" s="10">
        <v>880881</v>
      </c>
      <c r="AJ22" s="23">
        <f t="shared" si="5"/>
        <v>6.5118154036019366E-2</v>
      </c>
      <c r="AK22" s="10">
        <v>77557</v>
      </c>
      <c r="AL22" s="10">
        <v>0</v>
      </c>
      <c r="AM22" s="10">
        <v>126473</v>
      </c>
      <c r="AN22" s="10">
        <v>0</v>
      </c>
      <c r="AO22" s="10">
        <v>145756</v>
      </c>
      <c r="AP22" s="10">
        <v>0</v>
      </c>
      <c r="AQ22" s="10">
        <v>0</v>
      </c>
      <c r="AR22" s="10">
        <v>0</v>
      </c>
      <c r="AS22" s="10">
        <v>4570</v>
      </c>
      <c r="AT22" s="10">
        <v>2352</v>
      </c>
      <c r="AU22" s="10">
        <v>-253</v>
      </c>
      <c r="AV22" s="10">
        <v>-510</v>
      </c>
      <c r="AW22" s="10">
        <v>-912</v>
      </c>
      <c r="AX22" s="10">
        <v>-1</v>
      </c>
      <c r="AY22" s="10">
        <f t="shared" si="6"/>
        <v>5246</v>
      </c>
      <c r="AZ22" s="1">
        <v>165</v>
      </c>
      <c r="BA22" s="1" t="s">
        <v>406</v>
      </c>
      <c r="BB22" s="1" t="s">
        <v>406</v>
      </c>
      <c r="BC22" s="1" t="s">
        <v>406</v>
      </c>
      <c r="BD22" s="1" t="s">
        <v>406</v>
      </c>
    </row>
    <row r="23" spans="1:56" x14ac:dyDescent="0.25">
      <c r="A23" s="1">
        <v>2</v>
      </c>
      <c r="B23" s="1" t="s">
        <v>492</v>
      </c>
      <c r="C23" s="7" t="s">
        <v>234</v>
      </c>
      <c r="D23" s="1" t="s">
        <v>508</v>
      </c>
      <c r="E23" s="1" t="s">
        <v>434</v>
      </c>
      <c r="F23" s="7" t="s">
        <v>630</v>
      </c>
      <c r="G23" s="7" t="s">
        <v>420</v>
      </c>
      <c r="H23" s="10">
        <v>7444659</v>
      </c>
      <c r="I23" s="10">
        <v>205054</v>
      </c>
      <c r="J23" s="10">
        <v>3495025</v>
      </c>
      <c r="K23" s="10">
        <v>622798</v>
      </c>
      <c r="L23" s="10">
        <v>1971994</v>
      </c>
      <c r="M23" s="10">
        <v>369656</v>
      </c>
      <c r="N23" s="10">
        <v>0</v>
      </c>
      <c r="O23" s="10">
        <v>7058104</v>
      </c>
      <c r="P23" s="23">
        <v>0.09</v>
      </c>
      <c r="Q23" s="10">
        <v>0</v>
      </c>
      <c r="R23" s="27">
        <f>599939/7058104</f>
        <v>8.5000022668977396E-2</v>
      </c>
      <c r="S23" s="10">
        <v>598259</v>
      </c>
      <c r="T23" s="10">
        <v>74</v>
      </c>
      <c r="U23" s="10">
        <f>28182+393</f>
        <v>28575</v>
      </c>
      <c r="V23" s="10">
        <v>222163</v>
      </c>
      <c r="W23" s="10">
        <v>18487</v>
      </c>
      <c r="X23" s="10">
        <v>37330</v>
      </c>
      <c r="Y23" s="10">
        <f>41050+5000</f>
        <v>46050</v>
      </c>
      <c r="Z23" s="10">
        <v>10769</v>
      </c>
      <c r="AA23" s="10">
        <v>19003</v>
      </c>
      <c r="AB23" s="10">
        <v>695</v>
      </c>
      <c r="AC23" s="10">
        <f>4574+19976+33528</f>
        <v>58078</v>
      </c>
      <c r="AD23" s="10">
        <v>7975</v>
      </c>
      <c r="AE23" s="10">
        <v>1294</v>
      </c>
      <c r="AF23" s="10">
        <v>6863</v>
      </c>
      <c r="AG23" s="10">
        <v>0</v>
      </c>
      <c r="AH23" s="10">
        <v>476881</v>
      </c>
      <c r="AI23" s="10">
        <v>481053</v>
      </c>
      <c r="AJ23" s="23">
        <f t="shared" si="5"/>
        <v>0</v>
      </c>
      <c r="AK23" s="10">
        <v>46414</v>
      </c>
      <c r="AL23" s="10">
        <v>0</v>
      </c>
      <c r="AM23" s="10">
        <v>126473</v>
      </c>
      <c r="AN23" s="10">
        <v>0</v>
      </c>
      <c r="AO23" s="10">
        <v>70418</v>
      </c>
      <c r="AP23" s="10">
        <v>0</v>
      </c>
      <c r="AQ23" s="10">
        <v>0</v>
      </c>
      <c r="AR23" s="10">
        <v>0</v>
      </c>
      <c r="AS23" s="10">
        <v>1424</v>
      </c>
      <c r="AT23" s="10">
        <v>826</v>
      </c>
      <c r="AU23" s="10">
        <v>-124</v>
      </c>
      <c r="AV23" s="10">
        <v>-134</v>
      </c>
      <c r="AW23" s="10">
        <v>-280</v>
      </c>
      <c r="AX23" s="10">
        <f>15-1</f>
        <v>14</v>
      </c>
      <c r="AY23" s="10">
        <f t="shared" si="6"/>
        <v>1726</v>
      </c>
      <c r="AZ23" s="1">
        <v>41</v>
      </c>
      <c r="BA23" s="1" t="s">
        <v>406</v>
      </c>
      <c r="BB23" s="1" t="s">
        <v>406</v>
      </c>
      <c r="BC23" s="1" t="s">
        <v>406</v>
      </c>
      <c r="BD23" s="1" t="s">
        <v>406</v>
      </c>
    </row>
    <row r="24" spans="1:56" x14ac:dyDescent="0.25">
      <c r="A24" s="1">
        <v>2</v>
      </c>
      <c r="B24" s="1" t="s">
        <v>514</v>
      </c>
      <c r="C24" s="7" t="s">
        <v>238</v>
      </c>
      <c r="D24" s="1" t="s">
        <v>252</v>
      </c>
      <c r="E24" s="1" t="s">
        <v>149</v>
      </c>
      <c r="F24" s="7"/>
      <c r="G24" s="7" t="s">
        <v>138</v>
      </c>
      <c r="H24" s="10">
        <v>6681311</v>
      </c>
      <c r="I24" s="10">
        <v>658845</v>
      </c>
      <c r="J24" s="10">
        <v>3734990</v>
      </c>
      <c r="K24" s="10">
        <v>927196</v>
      </c>
      <c r="L24" s="10">
        <v>482721</v>
      </c>
      <c r="M24" s="10">
        <v>199080</v>
      </c>
      <c r="N24" s="10">
        <v>25671</v>
      </c>
      <c r="O24" s="10">
        <v>5836113</v>
      </c>
      <c r="P24" s="23">
        <v>0.14000000000000001</v>
      </c>
      <c r="Q24" s="10">
        <v>0</v>
      </c>
      <c r="R24" s="27">
        <f>464835/5810442</f>
        <v>7.9999938042579211E-2</v>
      </c>
      <c r="S24" s="10">
        <v>464646</v>
      </c>
      <c r="T24" s="10">
        <v>0</v>
      </c>
      <c r="U24" s="10">
        <f>7760+495</f>
        <v>8255</v>
      </c>
      <c r="V24" s="10">
        <v>188752</v>
      </c>
      <c r="W24" s="10">
        <v>15754</v>
      </c>
      <c r="X24" s="10">
        <v>36436</v>
      </c>
      <c r="Y24" s="10">
        <v>27138</v>
      </c>
      <c r="Z24" s="10">
        <v>16194</v>
      </c>
      <c r="AA24" s="10">
        <v>6206</v>
      </c>
      <c r="AB24" s="10">
        <v>0</v>
      </c>
      <c r="AC24" s="10">
        <f>6203+7534+11337</f>
        <v>25074</v>
      </c>
      <c r="AD24" s="10">
        <v>2416</v>
      </c>
      <c r="AE24" s="10">
        <v>385</v>
      </c>
      <c r="AF24" s="10">
        <v>9961</v>
      </c>
      <c r="AG24" s="10">
        <v>27138</v>
      </c>
      <c r="AH24" s="10">
        <v>343080</v>
      </c>
      <c r="AI24" s="10">
        <v>337522</v>
      </c>
      <c r="AJ24" s="23">
        <f t="shared" si="5"/>
        <v>7.910108429520811E-2</v>
      </c>
      <c r="AK24" s="10">
        <v>26219</v>
      </c>
      <c r="AL24" s="10">
        <v>919</v>
      </c>
      <c r="AM24" s="10">
        <v>126473</v>
      </c>
      <c r="AN24" s="10">
        <v>0</v>
      </c>
      <c r="AO24" s="10">
        <v>54319</v>
      </c>
      <c r="AP24" s="10">
        <v>0</v>
      </c>
      <c r="AQ24" s="10">
        <v>0</v>
      </c>
      <c r="AR24" s="10">
        <v>0</v>
      </c>
      <c r="AS24" s="10">
        <v>1127</v>
      </c>
      <c r="AT24" s="10">
        <v>1168</v>
      </c>
      <c r="AU24" s="10">
        <v>-222</v>
      </c>
      <c r="AV24" s="10">
        <v>-707</v>
      </c>
      <c r="AW24" s="10">
        <v>-151</v>
      </c>
      <c r="AX24" s="10">
        <v>-1</v>
      </c>
      <c r="AY24" s="10">
        <f t="shared" si="6"/>
        <v>1214</v>
      </c>
      <c r="AZ24" s="1">
        <v>1</v>
      </c>
      <c r="BA24" s="1">
        <v>22</v>
      </c>
      <c r="BB24" s="1">
        <v>4</v>
      </c>
      <c r="BC24" s="1">
        <v>33</v>
      </c>
      <c r="BD24" s="1">
        <v>92</v>
      </c>
    </row>
    <row r="25" spans="1:56" x14ac:dyDescent="0.25">
      <c r="A25" s="1">
        <v>2</v>
      </c>
      <c r="B25" s="1" t="s">
        <v>533</v>
      </c>
      <c r="C25" s="7" t="s">
        <v>293</v>
      </c>
      <c r="D25" s="1" t="s">
        <v>634</v>
      </c>
      <c r="E25" s="1" t="s">
        <v>434</v>
      </c>
      <c r="F25" s="7" t="s">
        <v>558</v>
      </c>
      <c r="G25" s="7" t="s">
        <v>421</v>
      </c>
      <c r="H25" s="10">
        <v>8470235</v>
      </c>
      <c r="I25" s="10">
        <v>1851806</v>
      </c>
      <c r="J25" s="10">
        <v>3033325</v>
      </c>
      <c r="K25" s="10">
        <v>954128</v>
      </c>
      <c r="L25" s="10">
        <v>1743429</v>
      </c>
      <c r="M25" s="10">
        <v>69035</v>
      </c>
      <c r="N25" s="10">
        <v>1261</v>
      </c>
      <c r="O25" s="10">
        <v>6360149</v>
      </c>
      <c r="P25" s="23">
        <v>0.23200000000000001</v>
      </c>
      <c r="Q25" s="10">
        <v>0</v>
      </c>
      <c r="R25" s="27">
        <f>(353944+203069)/(3686924+2671964)</f>
        <v>8.7595975900188833E-2</v>
      </c>
      <c r="S25" s="10">
        <v>556884</v>
      </c>
      <c r="T25" s="10">
        <v>0</v>
      </c>
      <c r="U25" s="10">
        <f>15614+832</f>
        <v>16446</v>
      </c>
      <c r="V25" s="10">
        <v>231110</v>
      </c>
      <c r="W25" s="10">
        <v>20800</v>
      </c>
      <c r="X25" s="10">
        <v>6987</v>
      </c>
      <c r="Y25" s="10">
        <v>69601</v>
      </c>
      <c r="Z25" s="10">
        <v>27000</v>
      </c>
      <c r="AA25" s="10">
        <v>3651</v>
      </c>
      <c r="AB25" s="10">
        <v>0</v>
      </c>
      <c r="AC25" s="10">
        <f>7054+12573+8743</f>
        <v>28370</v>
      </c>
      <c r="AD25" s="10">
        <v>4586</v>
      </c>
      <c r="AE25" s="10">
        <v>339</v>
      </c>
      <c r="AF25" s="10">
        <v>0</v>
      </c>
      <c r="AG25" s="10">
        <v>377132</v>
      </c>
      <c r="AH25" s="10">
        <v>438302</v>
      </c>
      <c r="AI25" s="10">
        <v>426100</v>
      </c>
      <c r="AJ25" s="23">
        <f t="shared" si="5"/>
        <v>0.8604386929559984</v>
      </c>
      <c r="AK25" s="10">
        <v>50027</v>
      </c>
      <c r="AL25" s="10">
        <v>0</v>
      </c>
      <c r="AM25" s="10">
        <v>129773</v>
      </c>
      <c r="AN25" s="10">
        <v>3300</v>
      </c>
      <c r="AO25" s="10">
        <v>56543</v>
      </c>
      <c r="AP25" s="10">
        <v>0</v>
      </c>
      <c r="AQ25" s="10">
        <v>0</v>
      </c>
      <c r="AR25" s="10">
        <v>0</v>
      </c>
      <c r="AS25" s="10">
        <v>2375</v>
      </c>
      <c r="AT25" s="10">
        <v>1625</v>
      </c>
      <c r="AU25" s="10">
        <v>-104</v>
      </c>
      <c r="AV25" s="10">
        <v>-1274</v>
      </c>
      <c r="AW25" s="10">
        <v>-131</v>
      </c>
      <c r="AX25" s="10">
        <v>-616</v>
      </c>
      <c r="AY25" s="10">
        <f t="shared" si="6"/>
        <v>1875</v>
      </c>
      <c r="AZ25" s="1">
        <v>13</v>
      </c>
      <c r="BA25" s="1" t="s">
        <v>406</v>
      </c>
      <c r="BB25" s="1" t="s">
        <v>406</v>
      </c>
      <c r="BC25" s="1" t="s">
        <v>406</v>
      </c>
      <c r="BD25" s="1" t="s">
        <v>406</v>
      </c>
    </row>
    <row r="26" spans="1:56" x14ac:dyDescent="0.25">
      <c r="A26" s="1">
        <v>2</v>
      </c>
      <c r="B26" s="1" t="s">
        <v>543</v>
      </c>
      <c r="C26" s="7" t="s">
        <v>292</v>
      </c>
      <c r="D26" s="1" t="s">
        <v>638</v>
      </c>
      <c r="E26" s="1" t="s">
        <v>616</v>
      </c>
      <c r="F26" s="7"/>
      <c r="G26" s="7" t="s">
        <v>614</v>
      </c>
      <c r="H26" s="10">
        <v>908876</v>
      </c>
      <c r="I26" s="10">
        <v>19322</v>
      </c>
      <c r="J26" s="10">
        <v>482992</v>
      </c>
      <c r="K26" s="10">
        <v>121583</v>
      </c>
      <c r="L26" s="10">
        <v>140783</v>
      </c>
      <c r="M26" s="10">
        <v>30765</v>
      </c>
      <c r="N26" s="10">
        <v>0</v>
      </c>
      <c r="O26" s="10">
        <v>853418</v>
      </c>
      <c r="P26" s="23">
        <v>0.16</v>
      </c>
      <c r="Q26" s="10">
        <v>77194</v>
      </c>
      <c r="R26" s="27">
        <f>77622/776224</f>
        <v>9.9999484684833245E-2</v>
      </c>
      <c r="S26" s="10">
        <v>77194</v>
      </c>
      <c r="T26" s="10">
        <v>0</v>
      </c>
      <c r="U26" s="10">
        <f>3341+185+63</f>
        <v>3589</v>
      </c>
      <c r="V26" s="10">
        <v>10451</v>
      </c>
      <c r="W26" s="10">
        <v>802</v>
      </c>
      <c r="X26" s="10">
        <v>1168</v>
      </c>
      <c r="Y26" s="10">
        <v>3754</v>
      </c>
      <c r="Z26" s="10">
        <v>0</v>
      </c>
      <c r="AA26" s="10">
        <v>8774</v>
      </c>
      <c r="AB26" s="10">
        <v>0</v>
      </c>
      <c r="AC26" s="10">
        <f>1887+2202+1270</f>
        <v>5359</v>
      </c>
      <c r="AD26" s="10">
        <v>2679</v>
      </c>
      <c r="AE26" s="10">
        <v>500</v>
      </c>
      <c r="AF26" s="10">
        <v>100</v>
      </c>
      <c r="AG26" s="10">
        <v>18779</v>
      </c>
      <c r="AH26" s="10">
        <v>38235</v>
      </c>
      <c r="AI26" s="10">
        <v>40410</v>
      </c>
      <c r="AJ26" s="23">
        <f t="shared" si="5"/>
        <v>0.49114685497580751</v>
      </c>
      <c r="AK26" s="10">
        <v>1995</v>
      </c>
      <c r="AL26" s="10">
        <v>0</v>
      </c>
      <c r="AM26" s="10">
        <v>41965</v>
      </c>
      <c r="AN26" s="10">
        <v>0</v>
      </c>
      <c r="AO26" s="10">
        <v>2578</v>
      </c>
      <c r="AP26" s="10">
        <v>0</v>
      </c>
      <c r="AQ26" s="10">
        <v>0</v>
      </c>
      <c r="AR26" s="10">
        <v>0</v>
      </c>
      <c r="AS26" s="10">
        <v>201</v>
      </c>
      <c r="AT26" s="10">
        <v>122</v>
      </c>
      <c r="AU26" s="10">
        <v>-31</v>
      </c>
      <c r="AV26" s="10">
        <v>-25</v>
      </c>
      <c r="AW26" s="10">
        <v>-17</v>
      </c>
      <c r="AX26" s="10">
        <v>4</v>
      </c>
      <c r="AY26" s="10">
        <f t="shared" si="6"/>
        <v>254</v>
      </c>
      <c r="AZ26" s="1">
        <v>3</v>
      </c>
      <c r="BA26" s="1" t="s">
        <v>406</v>
      </c>
      <c r="BB26" s="1" t="s">
        <v>406</v>
      </c>
      <c r="BC26" s="1" t="s">
        <v>406</v>
      </c>
      <c r="BD26" s="1" t="s">
        <v>406</v>
      </c>
    </row>
    <row r="27" spans="1:56" x14ac:dyDescent="0.25">
      <c r="A27" s="1">
        <v>2</v>
      </c>
      <c r="B27" s="1" t="s">
        <v>579</v>
      </c>
      <c r="C27" s="7" t="s">
        <v>360</v>
      </c>
      <c r="D27" s="1" t="s">
        <v>624</v>
      </c>
      <c r="E27" s="1" t="s">
        <v>434</v>
      </c>
      <c r="F27" s="7" t="s">
        <v>429</v>
      </c>
      <c r="G27" s="7" t="s">
        <v>420</v>
      </c>
      <c r="H27" s="10">
        <v>5883744</v>
      </c>
      <c r="I27" s="10">
        <v>180850</v>
      </c>
      <c r="J27" s="10">
        <v>2331477</v>
      </c>
      <c r="K27" s="10">
        <v>623742</v>
      </c>
      <c r="L27" s="10">
        <v>1606481</v>
      </c>
      <c r="M27" s="10">
        <v>421960</v>
      </c>
      <c r="N27" s="10">
        <v>0</v>
      </c>
      <c r="O27" s="10">
        <v>5474237</v>
      </c>
      <c r="P27" s="23">
        <v>0.16</v>
      </c>
      <c r="Q27" s="10">
        <v>0</v>
      </c>
      <c r="R27" s="27">
        <f>494257/5474237</f>
        <v>9.0287833720023442E-2</v>
      </c>
      <c r="S27" s="10">
        <v>493533</v>
      </c>
      <c r="T27" s="10">
        <v>0</v>
      </c>
      <c r="U27" s="10">
        <f>11597+519</f>
        <v>12116</v>
      </c>
      <c r="V27" s="10">
        <v>134261</v>
      </c>
      <c r="W27" s="10">
        <v>15810</v>
      </c>
      <c r="X27" s="10">
        <v>33927</v>
      </c>
      <c r="Y27" s="10">
        <v>56684</v>
      </c>
      <c r="Z27" s="10">
        <v>8855</v>
      </c>
      <c r="AA27" s="10">
        <v>55654</v>
      </c>
      <c r="AB27" s="10">
        <v>0</v>
      </c>
      <c r="AC27" s="10">
        <f>6790+15988+9084</f>
        <v>31862</v>
      </c>
      <c r="AD27" s="10">
        <v>5813</v>
      </c>
      <c r="AE27" s="10">
        <v>0</v>
      </c>
      <c r="AF27" s="10">
        <v>974</v>
      </c>
      <c r="AG27" s="10">
        <v>0</v>
      </c>
      <c r="AH27" s="10">
        <v>363546</v>
      </c>
      <c r="AI27" s="10">
        <v>372069</v>
      </c>
      <c r="AJ27" s="23">
        <f t="shared" si="5"/>
        <v>0</v>
      </c>
      <c r="AK27" s="10">
        <v>30517</v>
      </c>
      <c r="AL27" s="10">
        <v>0</v>
      </c>
      <c r="AM27" s="10">
        <v>126473</v>
      </c>
      <c r="AN27" s="10">
        <v>0</v>
      </c>
      <c r="AO27" s="10">
        <v>61803</v>
      </c>
      <c r="AP27" s="10">
        <v>0</v>
      </c>
      <c r="AQ27" s="10">
        <v>0</v>
      </c>
      <c r="AR27" s="10">
        <v>0</v>
      </c>
      <c r="AS27" s="10">
        <v>1214</v>
      </c>
      <c r="AT27" s="10">
        <v>825</v>
      </c>
      <c r="AU27" s="10">
        <v>-133</v>
      </c>
      <c r="AV27" s="10">
        <v>-278</v>
      </c>
      <c r="AW27" s="10">
        <v>-248</v>
      </c>
      <c r="AX27" s="10">
        <v>0</v>
      </c>
      <c r="AY27" s="10">
        <f t="shared" si="6"/>
        <v>1380</v>
      </c>
      <c r="AZ27" s="1">
        <v>19</v>
      </c>
      <c r="BA27" s="1" t="s">
        <v>406</v>
      </c>
      <c r="BB27" s="1" t="s">
        <v>406</v>
      </c>
      <c r="BC27" s="1" t="s">
        <v>406</v>
      </c>
      <c r="BD27" s="1" t="s">
        <v>406</v>
      </c>
    </row>
    <row r="28" spans="1:56" x14ac:dyDescent="0.25">
      <c r="A28" s="1">
        <v>2</v>
      </c>
      <c r="B28" s="1" t="s">
        <v>627</v>
      </c>
      <c r="C28" s="7" t="s">
        <v>530</v>
      </c>
      <c r="D28" s="1" t="s">
        <v>510</v>
      </c>
      <c r="E28" s="1" t="s">
        <v>434</v>
      </c>
      <c r="F28" s="7" t="s">
        <v>188</v>
      </c>
      <c r="G28" s="7" t="s">
        <v>420</v>
      </c>
      <c r="H28" s="10">
        <v>3198120</v>
      </c>
      <c r="I28" s="10">
        <v>147302</v>
      </c>
      <c r="J28" s="10">
        <v>1818266</v>
      </c>
      <c r="K28" s="10">
        <v>257727</v>
      </c>
      <c r="L28" s="10">
        <v>556118</v>
      </c>
      <c r="M28" s="10">
        <v>44391</v>
      </c>
      <c r="N28" s="10">
        <v>3150</v>
      </c>
      <c r="O28" s="10">
        <v>2977588</v>
      </c>
      <c r="P28" s="23">
        <v>0.06</v>
      </c>
      <c r="Q28" s="10">
        <v>0</v>
      </c>
      <c r="R28" s="27">
        <f>297444/2974438</f>
        <v>0.10000006723959283</v>
      </c>
      <c r="S28" s="10">
        <v>297931</v>
      </c>
      <c r="T28" s="10">
        <v>0</v>
      </c>
      <c r="U28" s="10">
        <f>4871+100</f>
        <v>4971</v>
      </c>
      <c r="V28" s="10">
        <v>94562</v>
      </c>
      <c r="W28" s="10">
        <v>9158</v>
      </c>
      <c r="X28" s="10">
        <v>6586</v>
      </c>
      <c r="Y28" s="10">
        <v>20600</v>
      </c>
      <c r="Z28" s="10">
        <v>7800</v>
      </c>
      <c r="AA28" s="10">
        <v>2733</v>
      </c>
      <c r="AB28" s="10">
        <v>0</v>
      </c>
      <c r="AC28" s="10">
        <f>3996+3148+1714</f>
        <v>8858</v>
      </c>
      <c r="AD28" s="10">
        <v>4697</v>
      </c>
      <c r="AE28" s="10">
        <v>12000</v>
      </c>
      <c r="AF28" s="10">
        <v>0</v>
      </c>
      <c r="AG28" s="10">
        <v>152314</v>
      </c>
      <c r="AH28" s="10">
        <v>182642</v>
      </c>
      <c r="AI28" s="10">
        <v>184795</v>
      </c>
      <c r="AJ28" s="23">
        <f t="shared" si="5"/>
        <v>0.83394837989071513</v>
      </c>
      <c r="AK28" s="10">
        <v>1088</v>
      </c>
      <c r="AL28" s="10">
        <v>0</v>
      </c>
      <c r="AM28" s="10">
        <v>118830</v>
      </c>
      <c r="AN28" s="10">
        <v>0</v>
      </c>
      <c r="AO28" s="10">
        <v>5668</v>
      </c>
      <c r="AP28" s="10">
        <v>0</v>
      </c>
      <c r="AQ28" s="10">
        <v>0</v>
      </c>
      <c r="AR28" s="10">
        <v>0</v>
      </c>
      <c r="AS28" s="10">
        <v>550</v>
      </c>
      <c r="AT28" s="10">
        <v>478</v>
      </c>
      <c r="AU28" s="10">
        <v>-10</v>
      </c>
      <c r="AV28" s="10">
        <v>-155</v>
      </c>
      <c r="AW28" s="10">
        <v>-45</v>
      </c>
      <c r="AX28" s="10">
        <v>-3</v>
      </c>
      <c r="AY28" s="10">
        <f t="shared" si="6"/>
        <v>815</v>
      </c>
      <c r="AZ28" s="1">
        <v>29</v>
      </c>
      <c r="BA28" s="1">
        <v>7</v>
      </c>
      <c r="BB28" s="1">
        <v>8</v>
      </c>
      <c r="BC28" s="1">
        <v>25</v>
      </c>
      <c r="BD28" s="1">
        <v>5</v>
      </c>
    </row>
    <row r="29" spans="1:56" x14ac:dyDescent="0.25">
      <c r="A29" s="1">
        <v>3</v>
      </c>
      <c r="B29" s="1" t="s">
        <v>164</v>
      </c>
      <c r="C29" s="7" t="s">
        <v>113</v>
      </c>
      <c r="D29" s="1" t="s">
        <v>250</v>
      </c>
      <c r="E29" s="1" t="s">
        <v>453</v>
      </c>
      <c r="F29" s="7" t="s">
        <v>382</v>
      </c>
      <c r="G29" s="7" t="s">
        <v>462</v>
      </c>
      <c r="H29" s="10">
        <v>7626190</v>
      </c>
      <c r="I29" s="10">
        <v>534085</v>
      </c>
      <c r="J29" s="10">
        <v>1988907</v>
      </c>
      <c r="K29" s="10">
        <v>1730103</v>
      </c>
      <c r="L29" s="10">
        <v>1432602</v>
      </c>
      <c r="M29" s="10">
        <v>547613</v>
      </c>
      <c r="N29" s="10">
        <v>22979</v>
      </c>
      <c r="O29" s="10">
        <v>6112949</v>
      </c>
      <c r="P29" s="23">
        <v>0.36399999999999999</v>
      </c>
      <c r="Q29" s="10">
        <v>0</v>
      </c>
      <c r="R29" s="27">
        <f>389166/6089970</f>
        <v>6.3902777846196288E-2</v>
      </c>
      <c r="S29" s="10">
        <v>390734</v>
      </c>
      <c r="T29" s="10">
        <v>0</v>
      </c>
      <c r="U29" s="10">
        <f>53833+3168+879</f>
        <v>57880</v>
      </c>
      <c r="V29" s="10">
        <v>149605</v>
      </c>
      <c r="W29" s="10">
        <v>17003</v>
      </c>
      <c r="X29" s="10">
        <v>16935</v>
      </c>
      <c r="Y29" s="10">
        <f>23045+2509</f>
        <v>25554</v>
      </c>
      <c r="Z29" s="10">
        <v>10506</v>
      </c>
      <c r="AA29" s="10">
        <v>21283</v>
      </c>
      <c r="AB29" s="10">
        <v>5129</v>
      </c>
      <c r="AC29" s="10">
        <f>4494+10193+7192</f>
        <v>21879</v>
      </c>
      <c r="AD29" s="10">
        <v>4553</v>
      </c>
      <c r="AE29" s="10">
        <v>0</v>
      </c>
      <c r="AF29" s="10">
        <v>13528</v>
      </c>
      <c r="AG29" s="10">
        <v>19288</v>
      </c>
      <c r="AH29" s="10">
        <v>326072</v>
      </c>
      <c r="AI29" s="10">
        <v>344438</v>
      </c>
      <c r="AJ29" s="23">
        <f t="shared" si="5"/>
        <v>5.9152579798326749E-2</v>
      </c>
      <c r="AK29" s="10">
        <v>12016</v>
      </c>
      <c r="AL29" s="10">
        <v>0</v>
      </c>
      <c r="AM29" s="10">
        <v>126473</v>
      </c>
      <c r="AN29" s="10">
        <v>0</v>
      </c>
      <c r="AO29" s="10">
        <v>31469</v>
      </c>
      <c r="AP29" s="10">
        <v>0</v>
      </c>
      <c r="AQ29" s="10">
        <v>0</v>
      </c>
      <c r="AR29" s="10">
        <v>0</v>
      </c>
      <c r="AS29" s="10">
        <v>1907</v>
      </c>
      <c r="AT29" s="10">
        <v>1333</v>
      </c>
      <c r="AU29" s="10">
        <v>-188</v>
      </c>
      <c r="AV29" s="10">
        <v>-465</v>
      </c>
      <c r="AW29" s="10">
        <v>-297</v>
      </c>
      <c r="AX29" s="10">
        <v>-2</v>
      </c>
      <c r="AY29" s="10">
        <f t="shared" si="6"/>
        <v>2288</v>
      </c>
      <c r="AZ29" s="1">
        <v>7</v>
      </c>
      <c r="BA29" s="1" t="s">
        <v>406</v>
      </c>
      <c r="BB29" s="1" t="s">
        <v>406</v>
      </c>
      <c r="BC29" s="1" t="s">
        <v>406</v>
      </c>
      <c r="BD29" s="1" t="s">
        <v>406</v>
      </c>
    </row>
    <row r="30" spans="1:56" x14ac:dyDescent="0.25">
      <c r="A30" s="1">
        <v>3</v>
      </c>
      <c r="B30" s="1" t="s">
        <v>228</v>
      </c>
      <c r="C30" s="7" t="s">
        <v>231</v>
      </c>
      <c r="D30" s="1" t="s">
        <v>470</v>
      </c>
      <c r="E30" s="1" t="s">
        <v>453</v>
      </c>
      <c r="F30" s="7" t="s">
        <v>630</v>
      </c>
      <c r="G30" s="7" t="s">
        <v>462</v>
      </c>
      <c r="H30" s="10">
        <v>19604508</v>
      </c>
      <c r="I30" s="10">
        <v>659274</v>
      </c>
      <c r="J30" s="10">
        <v>13063233</v>
      </c>
      <c r="K30" s="10">
        <v>1728808</v>
      </c>
      <c r="L30" s="10">
        <v>2666376</v>
      </c>
      <c r="M30" s="10">
        <v>617807</v>
      </c>
      <c r="N30" s="10">
        <v>13905</v>
      </c>
      <c r="O30" s="10">
        <v>18841594</v>
      </c>
      <c r="P30" s="23">
        <v>0.06</v>
      </c>
      <c r="Q30" s="10">
        <v>0</v>
      </c>
      <c r="R30" s="27">
        <f>734702/18824829</f>
        <v>3.9028349208377937E-2</v>
      </c>
      <c r="S30" s="10">
        <v>724996</v>
      </c>
      <c r="T30" s="10">
        <v>0</v>
      </c>
      <c r="U30" s="10">
        <f>68640+3194</f>
        <v>71834</v>
      </c>
      <c r="V30" s="10">
        <v>371039</v>
      </c>
      <c r="W30" s="10">
        <v>37765</v>
      </c>
      <c r="X30" s="10">
        <v>48792</v>
      </c>
      <c r="Y30" s="10">
        <v>94492</v>
      </c>
      <c r="Z30" s="10">
        <v>19343</v>
      </c>
      <c r="AA30" s="10">
        <v>15816</v>
      </c>
      <c r="AB30" s="10">
        <v>0</v>
      </c>
      <c r="AC30" s="10">
        <f>8558+28198+29955</f>
        <v>66711</v>
      </c>
      <c r="AD30" s="10">
        <v>5023</v>
      </c>
      <c r="AE30" s="10">
        <v>1800</v>
      </c>
      <c r="AF30" s="10">
        <v>4347</v>
      </c>
      <c r="AG30" s="10">
        <v>0</v>
      </c>
      <c r="AH30" s="10">
        <v>709307</v>
      </c>
      <c r="AI30" s="10">
        <v>720915</v>
      </c>
      <c r="AJ30" s="23">
        <f t="shared" si="5"/>
        <v>0</v>
      </c>
      <c r="AK30" s="10">
        <v>101253</v>
      </c>
      <c r="AL30" s="10">
        <v>0</v>
      </c>
      <c r="AM30" s="10">
        <v>126473</v>
      </c>
      <c r="AN30" s="10">
        <v>0</v>
      </c>
      <c r="AO30" s="10">
        <v>88130</v>
      </c>
      <c r="AP30" s="10">
        <v>0</v>
      </c>
      <c r="AQ30" s="10">
        <v>0</v>
      </c>
      <c r="AR30" s="10">
        <v>0</v>
      </c>
      <c r="AS30" s="10">
        <v>2080</v>
      </c>
      <c r="AT30" s="10">
        <v>1078</v>
      </c>
      <c r="AU30" s="10">
        <v>-201</v>
      </c>
      <c r="AV30" s="10">
        <v>-503</v>
      </c>
      <c r="AW30" s="10">
        <v>-268</v>
      </c>
      <c r="AX30" s="10">
        <f>7+13</f>
        <v>20</v>
      </c>
      <c r="AY30" s="10">
        <f t="shared" si="6"/>
        <v>2206</v>
      </c>
      <c r="AZ30" s="1">
        <v>0</v>
      </c>
      <c r="BA30" s="1">
        <v>118</v>
      </c>
      <c r="BB30" s="1">
        <v>42</v>
      </c>
      <c r="BC30" s="1">
        <v>69</v>
      </c>
      <c r="BD30" s="1">
        <v>36</v>
      </c>
    </row>
    <row r="31" spans="1:56" x14ac:dyDescent="0.25">
      <c r="A31" s="1">
        <v>3</v>
      </c>
      <c r="B31" s="1" t="s">
        <v>299</v>
      </c>
      <c r="C31" s="7" t="s">
        <v>378</v>
      </c>
      <c r="D31" s="1" t="s">
        <v>640</v>
      </c>
      <c r="E31" s="1" t="s">
        <v>159</v>
      </c>
      <c r="F31" s="7"/>
      <c r="G31" s="7" t="s">
        <v>165</v>
      </c>
      <c r="H31" s="10">
        <v>4695341</v>
      </c>
      <c r="I31" s="10">
        <v>167465</v>
      </c>
      <c r="J31" s="10">
        <v>1841533</v>
      </c>
      <c r="K31" s="10">
        <v>1066617</v>
      </c>
      <c r="L31" s="10">
        <v>868229</v>
      </c>
      <c r="M31" s="10">
        <v>260928</v>
      </c>
      <c r="N31" s="10">
        <v>3990</v>
      </c>
      <c r="O31" s="10">
        <v>4370187</v>
      </c>
      <c r="P31" s="23">
        <v>0.13</v>
      </c>
      <c r="Q31" s="10">
        <v>0</v>
      </c>
      <c r="R31" s="27">
        <f>324187/4366197</f>
        <v>7.4249283758840934E-2</v>
      </c>
      <c r="S31" s="10">
        <v>323971</v>
      </c>
      <c r="T31" s="10">
        <v>0</v>
      </c>
      <c r="U31" s="10">
        <f>17928+439</f>
        <v>18367</v>
      </c>
      <c r="V31" s="10">
        <v>93251</v>
      </c>
      <c r="W31" s="10">
        <v>6661</v>
      </c>
      <c r="X31" s="10">
        <v>7268</v>
      </c>
      <c r="Y31" s="10">
        <v>25042</v>
      </c>
      <c r="Z31" s="10">
        <v>15305</v>
      </c>
      <c r="AA31" s="10">
        <v>0</v>
      </c>
      <c r="AB31" s="10">
        <v>0</v>
      </c>
      <c r="AC31" s="10">
        <f>2488+8424+6360</f>
        <v>17272</v>
      </c>
      <c r="AD31" s="10">
        <v>1999</v>
      </c>
      <c r="AE31" s="10">
        <v>0</v>
      </c>
      <c r="AF31" s="10">
        <v>24909</v>
      </c>
      <c r="AG31" s="10">
        <v>39438</v>
      </c>
      <c r="AH31" s="10">
        <v>222914</v>
      </c>
      <c r="AI31" s="10">
        <v>226665</v>
      </c>
      <c r="AJ31" s="23">
        <f t="shared" si="5"/>
        <v>0.17692024727024772</v>
      </c>
      <c r="AK31" s="10">
        <v>21740</v>
      </c>
      <c r="AL31" s="10">
        <v>0</v>
      </c>
      <c r="AM31" s="10">
        <v>126473</v>
      </c>
      <c r="AN31" s="10">
        <v>0</v>
      </c>
      <c r="AO31" s="10">
        <v>18681</v>
      </c>
      <c r="AP31" s="10">
        <v>0</v>
      </c>
      <c r="AQ31" s="10">
        <v>0</v>
      </c>
      <c r="AR31" s="10">
        <v>0</v>
      </c>
      <c r="AS31" s="10">
        <v>1324</v>
      </c>
      <c r="AT31" s="10">
        <v>766</v>
      </c>
      <c r="AU31" s="10">
        <v>-90</v>
      </c>
      <c r="AV31" s="10">
        <v>-243</v>
      </c>
      <c r="AW31" s="10">
        <v>-184</v>
      </c>
      <c r="AX31" s="10">
        <v>0</v>
      </c>
      <c r="AY31" s="10">
        <f t="shared" si="6"/>
        <v>1573</v>
      </c>
      <c r="AZ31" s="1">
        <v>6</v>
      </c>
      <c r="BA31" s="1">
        <v>37</v>
      </c>
      <c r="BB31" s="1">
        <v>7</v>
      </c>
      <c r="BC31" s="1">
        <v>134</v>
      </c>
      <c r="BD31" s="1">
        <v>4</v>
      </c>
    </row>
    <row r="32" spans="1:56" x14ac:dyDescent="0.25">
      <c r="A32" s="1">
        <v>3</v>
      </c>
      <c r="B32" s="1" t="s">
        <v>493</v>
      </c>
      <c r="C32" s="7" t="s">
        <v>223</v>
      </c>
      <c r="D32" s="1" t="s">
        <v>487</v>
      </c>
      <c r="E32" s="1" t="s">
        <v>453</v>
      </c>
      <c r="F32" s="7" t="s">
        <v>188</v>
      </c>
      <c r="G32" s="7" t="s">
        <v>462</v>
      </c>
      <c r="H32" s="10">
        <v>8879705</v>
      </c>
      <c r="I32" s="10">
        <v>641089</v>
      </c>
      <c r="J32" s="10">
        <v>3698820</v>
      </c>
      <c r="K32" s="10">
        <v>1602342</v>
      </c>
      <c r="L32" s="10">
        <v>1129195</v>
      </c>
      <c r="M32" s="10">
        <v>566198</v>
      </c>
      <c r="N32" s="10">
        <v>55493</v>
      </c>
      <c r="O32" s="10">
        <v>7679739</v>
      </c>
      <c r="P32" s="23">
        <v>0.24</v>
      </c>
      <c r="Q32" s="10">
        <v>0</v>
      </c>
      <c r="R32" s="27">
        <f>616440/7591034</f>
        <v>8.1206328413230666E-2</v>
      </c>
      <c r="S32" s="10">
        <v>615139</v>
      </c>
      <c r="T32" s="10">
        <v>0</v>
      </c>
      <c r="U32" s="10">
        <f>19137+763</f>
        <v>19900</v>
      </c>
      <c r="V32" s="10">
        <v>279645</v>
      </c>
      <c r="W32" s="10">
        <v>24477</v>
      </c>
      <c r="X32" s="10">
        <v>38315</v>
      </c>
      <c r="Y32" s="10">
        <f>47585+3169</f>
        <v>50754</v>
      </c>
      <c r="Z32" s="10">
        <v>4765</v>
      </c>
      <c r="AA32" s="10">
        <v>23026</v>
      </c>
      <c r="AB32" s="10">
        <v>2598</v>
      </c>
      <c r="AC32" s="10">
        <f>8015+23814+14154</f>
        <v>45983</v>
      </c>
      <c r="AD32" s="10">
        <v>3778</v>
      </c>
      <c r="AE32" s="10">
        <v>7344</v>
      </c>
      <c r="AF32" s="10">
        <v>17094</v>
      </c>
      <c r="AG32" s="10">
        <v>77031</v>
      </c>
      <c r="AH32" s="10">
        <v>585565</v>
      </c>
      <c r="AI32" s="10">
        <v>560904</v>
      </c>
      <c r="AJ32" s="23">
        <f t="shared" si="5"/>
        <v>0.13154987063776011</v>
      </c>
      <c r="AK32" s="10">
        <v>25638</v>
      </c>
      <c r="AL32" s="10">
        <v>0</v>
      </c>
      <c r="AM32" s="10">
        <v>126473</v>
      </c>
      <c r="AN32" s="10">
        <v>0</v>
      </c>
      <c r="AO32" s="10">
        <v>52189</v>
      </c>
      <c r="AP32" s="10">
        <v>0</v>
      </c>
      <c r="AQ32" s="10">
        <v>0</v>
      </c>
      <c r="AR32" s="10">
        <v>0</v>
      </c>
      <c r="AS32" s="10">
        <v>2854</v>
      </c>
      <c r="AT32" s="10">
        <v>2193</v>
      </c>
      <c r="AU32" s="10">
        <v>-159</v>
      </c>
      <c r="AV32" s="10">
        <v>-1271</v>
      </c>
      <c r="AW32" s="10">
        <v>-313</v>
      </c>
      <c r="AX32" s="10">
        <v>-1</v>
      </c>
      <c r="AY32" s="10">
        <f t="shared" si="6"/>
        <v>3303</v>
      </c>
      <c r="AZ32" s="1">
        <v>13</v>
      </c>
      <c r="BA32" s="1" t="s">
        <v>406</v>
      </c>
      <c r="BB32" s="1" t="s">
        <v>406</v>
      </c>
      <c r="BC32" s="1" t="s">
        <v>406</v>
      </c>
      <c r="BD32" s="1" t="s">
        <v>406</v>
      </c>
    </row>
    <row r="33" spans="1:56" x14ac:dyDescent="0.25">
      <c r="A33" s="1">
        <v>3</v>
      </c>
      <c r="B33" s="1" t="s">
        <v>539</v>
      </c>
      <c r="C33" s="7" t="s">
        <v>296</v>
      </c>
      <c r="D33" s="1" t="s">
        <v>625</v>
      </c>
      <c r="E33" s="1" t="s">
        <v>424</v>
      </c>
      <c r="F33" s="7"/>
      <c r="G33" s="7" t="s">
        <v>417</v>
      </c>
      <c r="H33" s="10">
        <v>13103894</v>
      </c>
      <c r="I33" s="10">
        <v>1998971</v>
      </c>
      <c r="J33" s="10">
        <v>6050090</v>
      </c>
      <c r="K33" s="10">
        <v>1412197</v>
      </c>
      <c r="L33" s="10">
        <v>2145746</v>
      </c>
      <c r="M33" s="10">
        <v>519702</v>
      </c>
      <c r="N33" s="10">
        <v>13933</v>
      </c>
      <c r="O33" s="10">
        <v>10925495</v>
      </c>
      <c r="P33" s="23">
        <v>0.2</v>
      </c>
      <c r="Q33" s="10">
        <v>0</v>
      </c>
      <c r="R33" s="27">
        <f>788871/10919606</f>
        <v>7.2243540655221442E-2</v>
      </c>
      <c r="S33" s="10">
        <v>783657</v>
      </c>
      <c r="T33" s="10">
        <v>0</v>
      </c>
      <c r="U33" s="10">
        <f>56583+1407</f>
        <v>57990</v>
      </c>
      <c r="V33" s="10">
        <v>295835</v>
      </c>
      <c r="W33" s="10">
        <v>31456</v>
      </c>
      <c r="X33" s="10">
        <v>49504</v>
      </c>
      <c r="Y33" s="10">
        <f>48122+548</f>
        <v>48670</v>
      </c>
      <c r="Z33" s="10">
        <v>5680</v>
      </c>
      <c r="AA33" s="10">
        <v>42485</v>
      </c>
      <c r="AB33" s="10">
        <v>47086</v>
      </c>
      <c r="AC33" s="10">
        <f>5620+21133+10271</f>
        <v>37024</v>
      </c>
      <c r="AD33" s="10">
        <v>5512</v>
      </c>
      <c r="AE33" s="10">
        <v>0</v>
      </c>
      <c r="AF33" s="10">
        <v>92890</v>
      </c>
      <c r="AG33" s="10">
        <v>156456</v>
      </c>
      <c r="AH33" s="10">
        <v>703732</v>
      </c>
      <c r="AI33" s="10">
        <v>708499</v>
      </c>
      <c r="AJ33" s="23">
        <f t="shared" si="5"/>
        <v>0.22232327079058506</v>
      </c>
      <c r="AK33" s="10">
        <v>63134</v>
      </c>
      <c r="AL33" s="10">
        <v>0</v>
      </c>
      <c r="AM33" s="10">
        <v>126473</v>
      </c>
      <c r="AN33" s="10">
        <v>0</v>
      </c>
      <c r="AO33" s="10">
        <v>87980</v>
      </c>
      <c r="AP33" s="10">
        <v>0</v>
      </c>
      <c r="AQ33" s="10">
        <v>0</v>
      </c>
      <c r="AR33" s="10">
        <v>0</v>
      </c>
      <c r="AS33" s="10">
        <v>3819</v>
      </c>
      <c r="AT33" s="10">
        <v>2677</v>
      </c>
      <c r="AU33" s="10">
        <v>-104</v>
      </c>
      <c r="AV33" s="10">
        <v>-1959</v>
      </c>
      <c r="AW33" s="10">
        <v>-348</v>
      </c>
      <c r="AX33" s="10">
        <f>-5+129-26</f>
        <v>98</v>
      </c>
      <c r="AY33" s="10">
        <f t="shared" si="6"/>
        <v>4183</v>
      </c>
      <c r="AZ33" s="1">
        <v>17</v>
      </c>
      <c r="BA33" s="1" t="s">
        <v>406</v>
      </c>
      <c r="BB33" s="1" t="s">
        <v>406</v>
      </c>
      <c r="BC33" s="1" t="s">
        <v>406</v>
      </c>
      <c r="BD33" s="1" t="s">
        <v>406</v>
      </c>
    </row>
    <row r="34" spans="1:56" x14ac:dyDescent="0.25">
      <c r="A34" s="1">
        <v>3</v>
      </c>
      <c r="B34" s="1" t="s">
        <v>560</v>
      </c>
      <c r="C34" s="7" t="s">
        <v>191</v>
      </c>
      <c r="D34" s="1" t="s">
        <v>467</v>
      </c>
      <c r="E34" s="1" t="s">
        <v>453</v>
      </c>
      <c r="F34" s="7" t="s">
        <v>188</v>
      </c>
      <c r="G34" s="7" t="s">
        <v>462</v>
      </c>
      <c r="H34" s="10">
        <v>16911565</v>
      </c>
      <c r="I34" s="10">
        <v>1651040</v>
      </c>
      <c r="J34" s="10">
        <v>9174725</v>
      </c>
      <c r="K34" s="10">
        <v>1062777</v>
      </c>
      <c r="L34" s="10">
        <v>1926277</v>
      </c>
      <c r="M34" s="10">
        <v>1223004</v>
      </c>
      <c r="N34" s="10">
        <v>86862</v>
      </c>
      <c r="O34" s="10">
        <v>14283100</v>
      </c>
      <c r="P34" s="23">
        <v>0.27300000000000002</v>
      </c>
      <c r="Q34" s="10">
        <v>0</v>
      </c>
      <c r="R34" s="27">
        <f>809068/14196238</f>
        <v>5.6991718510213764E-2</v>
      </c>
      <c r="S34" s="10">
        <v>809068</v>
      </c>
      <c r="T34" s="10">
        <v>0</v>
      </c>
      <c r="U34" s="10">
        <f>73197+6411+1262</f>
        <v>80870</v>
      </c>
      <c r="V34" s="10">
        <v>440121</v>
      </c>
      <c r="W34" s="10">
        <v>37637</v>
      </c>
      <c r="X34" s="10">
        <v>88460</v>
      </c>
      <c r="Y34" s="10">
        <v>68627</v>
      </c>
      <c r="Z34" s="10">
        <v>31437</v>
      </c>
      <c r="AA34" s="10">
        <v>48706</v>
      </c>
      <c r="AB34" s="10">
        <v>0</v>
      </c>
      <c r="AC34" s="10">
        <f>8037+51477+16672</f>
        <v>76186</v>
      </c>
      <c r="AD34" s="10">
        <v>1466</v>
      </c>
      <c r="AE34" s="10">
        <v>8662</v>
      </c>
      <c r="AF34" s="10">
        <v>7594</v>
      </c>
      <c r="AG34" s="10">
        <v>0</v>
      </c>
      <c r="AH34" s="10">
        <v>850932</v>
      </c>
      <c r="AI34" s="10">
        <v>856564</v>
      </c>
      <c r="AJ34" s="23">
        <f t="shared" si="5"/>
        <v>0</v>
      </c>
      <c r="AK34" s="10">
        <v>78636</v>
      </c>
      <c r="AL34" s="10">
        <v>0</v>
      </c>
      <c r="AM34" s="10">
        <v>126473</v>
      </c>
      <c r="AN34" s="10">
        <v>0</v>
      </c>
      <c r="AO34" s="10">
        <v>78031</v>
      </c>
      <c r="AP34" s="10">
        <v>0</v>
      </c>
      <c r="AQ34" s="10">
        <v>0</v>
      </c>
      <c r="AR34" s="10">
        <v>0</v>
      </c>
      <c r="AS34" s="10">
        <v>6246</v>
      </c>
      <c r="AT34" s="10">
        <v>4941</v>
      </c>
      <c r="AU34" s="10">
        <v>-202</v>
      </c>
      <c r="AV34" s="10">
        <v>-3373</v>
      </c>
      <c r="AW34" s="10">
        <v>-713</v>
      </c>
      <c r="AX34" s="10">
        <f>4+58-37</f>
        <v>25</v>
      </c>
      <c r="AY34" s="10">
        <f t="shared" si="6"/>
        <v>6924</v>
      </c>
      <c r="AZ34" s="1">
        <v>3</v>
      </c>
      <c r="BA34" s="1" t="s">
        <v>406</v>
      </c>
      <c r="BB34" s="1" t="s">
        <v>406</v>
      </c>
      <c r="BC34" s="1" t="s">
        <v>406</v>
      </c>
      <c r="BD34" s="1" t="s">
        <v>406</v>
      </c>
    </row>
    <row r="35" spans="1:56" x14ac:dyDescent="0.25">
      <c r="A35" s="1">
        <v>3</v>
      </c>
      <c r="B35" s="1" t="s">
        <v>644</v>
      </c>
      <c r="C35" s="7" t="s">
        <v>506</v>
      </c>
      <c r="D35" s="1" t="s">
        <v>356</v>
      </c>
      <c r="E35" s="1" t="s">
        <v>424</v>
      </c>
      <c r="F35" s="7"/>
      <c r="G35" s="7" t="s">
        <v>417</v>
      </c>
      <c r="H35" s="10">
        <v>34810694</v>
      </c>
      <c r="I35" s="10">
        <v>1978156</v>
      </c>
      <c r="J35" s="10">
        <v>18502633</v>
      </c>
      <c r="K35" s="10">
        <v>4620915</v>
      </c>
      <c r="L35" s="10">
        <v>6809299</v>
      </c>
      <c r="M35" s="10">
        <v>3128113</v>
      </c>
      <c r="N35" s="10">
        <v>0</v>
      </c>
      <c r="O35" s="10">
        <v>31396560</v>
      </c>
      <c r="P35" s="23">
        <v>9.4E-2</v>
      </c>
      <c r="Q35" s="10">
        <v>0</v>
      </c>
      <c r="R35" s="27">
        <f>1337720/30641289</f>
        <v>4.3657432296663495E-2</v>
      </c>
      <c r="S35" s="10">
        <v>1335600</v>
      </c>
      <c r="T35" s="10">
        <v>0</v>
      </c>
      <c r="U35" s="10">
        <f>140289+10376+1688</f>
        <v>152353</v>
      </c>
      <c r="V35" s="10">
        <v>489061</v>
      </c>
      <c r="W35" s="10">
        <v>44700</v>
      </c>
      <c r="X35" s="10">
        <v>75228</v>
      </c>
      <c r="Y35" s="10">
        <f>67298+7554</f>
        <v>74852</v>
      </c>
      <c r="Z35" s="10">
        <v>47686</v>
      </c>
      <c r="AA35" s="10">
        <v>23817</v>
      </c>
      <c r="AB35" s="10">
        <v>9399</v>
      </c>
      <c r="AC35" s="10">
        <f>12140+50014+36002</f>
        <v>98156</v>
      </c>
      <c r="AD35" s="10">
        <v>8529</v>
      </c>
      <c r="AE35" s="10">
        <v>20447</v>
      </c>
      <c r="AF35" s="10">
        <v>8893</v>
      </c>
      <c r="AG35" s="10">
        <v>24612</v>
      </c>
      <c r="AH35" s="10">
        <v>1340946</v>
      </c>
      <c r="AI35" s="10">
        <v>1371920</v>
      </c>
      <c r="AJ35" s="23">
        <f t="shared" si="5"/>
        <v>1.8354206657091338E-2</v>
      </c>
      <c r="AK35" s="10">
        <v>157850</v>
      </c>
      <c r="AL35" s="10">
        <v>0</v>
      </c>
      <c r="AM35" s="10">
        <v>126473</v>
      </c>
      <c r="AN35" s="10">
        <v>0</v>
      </c>
      <c r="AO35" s="10">
        <v>178384</v>
      </c>
      <c r="AP35" s="10">
        <v>0</v>
      </c>
      <c r="AQ35" s="10">
        <v>0</v>
      </c>
      <c r="AR35" s="10">
        <v>0</v>
      </c>
      <c r="AS35" s="10">
        <v>9980</v>
      </c>
      <c r="AT35" s="10">
        <v>9573</v>
      </c>
      <c r="AU35" s="10">
        <v>-535</v>
      </c>
      <c r="AV35" s="10">
        <v>-4380</v>
      </c>
      <c r="AW35" s="10">
        <v>-1255</v>
      </c>
      <c r="AX35" s="10">
        <f>61-8419</f>
        <v>-8358</v>
      </c>
      <c r="AY35" s="10">
        <f t="shared" si="6"/>
        <v>5025</v>
      </c>
      <c r="AZ35" s="1">
        <v>24</v>
      </c>
      <c r="BA35" s="1" t="s">
        <v>406</v>
      </c>
      <c r="BB35" s="1" t="s">
        <v>406</v>
      </c>
      <c r="BC35" s="1" t="s">
        <v>406</v>
      </c>
      <c r="BD35" s="1" t="s">
        <v>406</v>
      </c>
    </row>
    <row r="36" spans="1:56" x14ac:dyDescent="0.25">
      <c r="A36" s="1">
        <v>4</v>
      </c>
      <c r="B36" s="1" t="s">
        <v>98</v>
      </c>
      <c r="C36" s="7" t="s">
        <v>296</v>
      </c>
      <c r="D36" s="1" t="s">
        <v>132</v>
      </c>
      <c r="E36" s="1" t="s">
        <v>537</v>
      </c>
      <c r="F36" s="7"/>
      <c r="G36" s="7" t="s">
        <v>555</v>
      </c>
      <c r="H36" s="10">
        <v>3931568</v>
      </c>
      <c r="I36" s="10">
        <v>113975</v>
      </c>
      <c r="J36" s="10">
        <v>2222495</v>
      </c>
      <c r="K36" s="10">
        <v>93229</v>
      </c>
      <c r="L36" s="10">
        <v>775082</v>
      </c>
      <c r="M36" s="10">
        <v>161470</v>
      </c>
      <c r="N36" s="10">
        <v>2700</v>
      </c>
      <c r="O36" s="10">
        <v>3615201</v>
      </c>
      <c r="P36" s="23">
        <v>0.13</v>
      </c>
      <c r="Q36" s="10">
        <v>0</v>
      </c>
      <c r="R36" s="27">
        <f>361250/3612501</f>
        <v>9.9999972318346758E-2</v>
      </c>
      <c r="S36" s="10">
        <v>361694</v>
      </c>
      <c r="T36" s="10">
        <v>0</v>
      </c>
      <c r="U36" s="10">
        <f>6983+419</f>
        <v>7402</v>
      </c>
      <c r="V36" s="10">
        <v>88078</v>
      </c>
      <c r="W36" s="10">
        <v>7380</v>
      </c>
      <c r="X36" s="10">
        <v>19165</v>
      </c>
      <c r="Y36" s="10">
        <v>26181</v>
      </c>
      <c r="Z36" s="10">
        <v>0</v>
      </c>
      <c r="AA36" s="10">
        <v>8271</v>
      </c>
      <c r="AB36" s="10">
        <v>0</v>
      </c>
      <c r="AC36" s="10">
        <f>4418+11173+8171</f>
        <v>23762</v>
      </c>
      <c r="AD36" s="10">
        <v>2703</v>
      </c>
      <c r="AE36" s="10">
        <v>0</v>
      </c>
      <c r="AF36" s="10">
        <v>25398</v>
      </c>
      <c r="AG36" s="10">
        <v>0</v>
      </c>
      <c r="AH36" s="10">
        <v>229260</v>
      </c>
      <c r="AI36" s="10">
        <v>250740</v>
      </c>
      <c r="AJ36" s="23">
        <f t="shared" si="5"/>
        <v>0</v>
      </c>
      <c r="AK36" s="10">
        <v>16995</v>
      </c>
      <c r="AL36" s="10">
        <v>0</v>
      </c>
      <c r="AM36" s="10">
        <v>126418</v>
      </c>
      <c r="AN36" s="10">
        <v>0</v>
      </c>
      <c r="AO36" s="10">
        <v>33406</v>
      </c>
      <c r="AP36" s="10">
        <v>0</v>
      </c>
      <c r="AQ36" s="10">
        <v>0</v>
      </c>
      <c r="AR36" s="10">
        <v>0</v>
      </c>
      <c r="AS36" s="10">
        <v>769</v>
      </c>
      <c r="AT36" s="10">
        <v>443</v>
      </c>
      <c r="AU36" s="10">
        <v>-74</v>
      </c>
      <c r="AV36" s="10">
        <v>-193</v>
      </c>
      <c r="AW36" s="10">
        <v>-140</v>
      </c>
      <c r="AX36" s="10">
        <v>0</v>
      </c>
      <c r="AY36" s="10">
        <f t="shared" si="6"/>
        <v>805</v>
      </c>
      <c r="AZ36" s="1">
        <v>0</v>
      </c>
      <c r="BA36" s="1" t="s">
        <v>406</v>
      </c>
      <c r="BB36" s="1" t="s">
        <v>406</v>
      </c>
      <c r="BC36" s="1" t="s">
        <v>406</v>
      </c>
      <c r="BD36" s="1" t="s">
        <v>406</v>
      </c>
    </row>
    <row r="37" spans="1:56" x14ac:dyDescent="0.25">
      <c r="A37" s="1">
        <v>4</v>
      </c>
      <c r="B37" s="1" t="s">
        <v>144</v>
      </c>
      <c r="C37" s="7" t="s">
        <v>194</v>
      </c>
      <c r="D37" s="1" t="s">
        <v>57</v>
      </c>
      <c r="E37" s="1" t="s">
        <v>369</v>
      </c>
      <c r="F37" s="7"/>
      <c r="G37" s="7" t="s">
        <v>362</v>
      </c>
      <c r="H37" s="10">
        <v>16483479</v>
      </c>
      <c r="I37" s="10">
        <v>1544889</v>
      </c>
      <c r="J37" s="10">
        <v>4817522</v>
      </c>
      <c r="K37" s="10">
        <v>1707226</v>
      </c>
      <c r="L37" s="10">
        <v>5838072</v>
      </c>
      <c r="M37" s="10">
        <v>1047049</v>
      </c>
      <c r="N37" s="10">
        <v>62251</v>
      </c>
      <c r="O37" s="10">
        <v>14401951</v>
      </c>
      <c r="P37" s="23">
        <v>0.17</v>
      </c>
      <c r="Q37" s="10">
        <v>0</v>
      </c>
      <c r="R37" s="27">
        <f>927483/14339700</f>
        <v>6.4679386598045979E-2</v>
      </c>
      <c r="S37" s="10">
        <v>929192</v>
      </c>
      <c r="T37" s="10">
        <v>0</v>
      </c>
      <c r="U37" s="10">
        <f>40371+3430+1742</f>
        <v>45543</v>
      </c>
      <c r="V37" s="10">
        <v>449082</v>
      </c>
      <c r="W37" s="10">
        <v>40398</v>
      </c>
      <c r="X37" s="10">
        <v>46684</v>
      </c>
      <c r="Y37" s="10">
        <v>88797</v>
      </c>
      <c r="Z37" s="10">
        <v>2218</v>
      </c>
      <c r="AA37" s="10">
        <v>138658</v>
      </c>
      <c r="AB37" s="10">
        <v>2610</v>
      </c>
      <c r="AC37" s="10">
        <f>4497+20997+21811</f>
        <v>47305</v>
      </c>
      <c r="AD37" s="10">
        <v>7154</v>
      </c>
      <c r="AE37" s="10">
        <v>12981</v>
      </c>
      <c r="AF37" s="10">
        <v>13175</v>
      </c>
      <c r="AG37" s="10">
        <v>0</v>
      </c>
      <c r="AH37" s="10">
        <v>879681</v>
      </c>
      <c r="AI37" s="10">
        <v>901926</v>
      </c>
      <c r="AJ37" s="23">
        <f t="shared" si="5"/>
        <v>0</v>
      </c>
      <c r="AK37" s="10">
        <v>86301</v>
      </c>
      <c r="AL37" s="10">
        <v>1336</v>
      </c>
      <c r="AM37" s="10">
        <v>126473</v>
      </c>
      <c r="AN37" s="10">
        <v>0</v>
      </c>
      <c r="AO37" s="10">
        <v>117124</v>
      </c>
      <c r="AP37" s="10">
        <v>0</v>
      </c>
      <c r="AQ37" s="10">
        <v>0</v>
      </c>
      <c r="AR37" s="10">
        <v>0</v>
      </c>
      <c r="AS37" s="10">
        <v>4786</v>
      </c>
      <c r="AT37" s="10">
        <v>3866</v>
      </c>
      <c r="AU37" s="10">
        <v>-582</v>
      </c>
      <c r="AV37" s="10">
        <v>-1696</v>
      </c>
      <c r="AW37" s="10">
        <v>-732</v>
      </c>
      <c r="AX37" s="10">
        <v>0</v>
      </c>
      <c r="AY37" s="10">
        <f t="shared" si="6"/>
        <v>5642</v>
      </c>
      <c r="AZ37" s="1">
        <v>31</v>
      </c>
      <c r="BA37" s="1">
        <v>226</v>
      </c>
      <c r="BB37" s="1">
        <v>95</v>
      </c>
      <c r="BC37" s="1">
        <v>203</v>
      </c>
      <c r="BD37" s="1">
        <v>208</v>
      </c>
    </row>
    <row r="38" spans="1:56" x14ac:dyDescent="0.25">
      <c r="A38" s="1">
        <v>4</v>
      </c>
      <c r="B38" s="1" t="s">
        <v>272</v>
      </c>
      <c r="C38" s="7" t="s">
        <v>506</v>
      </c>
      <c r="D38" s="1" t="s">
        <v>503</v>
      </c>
      <c r="E38" s="1" t="s">
        <v>612</v>
      </c>
      <c r="F38" s="7" t="s">
        <v>188</v>
      </c>
      <c r="G38" s="7" t="s">
        <v>615</v>
      </c>
      <c r="H38" s="10">
        <v>14258929</v>
      </c>
      <c r="I38" s="10">
        <v>441906</v>
      </c>
      <c r="J38" s="10">
        <v>7385979</v>
      </c>
      <c r="K38" s="10">
        <v>1210522</v>
      </c>
      <c r="L38" s="10">
        <v>3814294</v>
      </c>
      <c r="M38" s="10">
        <v>1460025</v>
      </c>
      <c r="N38" s="10">
        <v>5237</v>
      </c>
      <c r="O38" s="10">
        <v>14450440</v>
      </c>
      <c r="P38" s="23">
        <v>5.5E-2</v>
      </c>
      <c r="Q38" s="10">
        <v>0</v>
      </c>
      <c r="R38" s="27">
        <f>569130/14445203</f>
        <v>3.9399238626137686E-2</v>
      </c>
      <c r="S38" s="10">
        <v>569150</v>
      </c>
      <c r="T38" s="10">
        <v>0</v>
      </c>
      <c r="U38" s="10">
        <f>19835+1607+2559</f>
        <v>24001</v>
      </c>
      <c r="V38" s="10">
        <v>193712</v>
      </c>
      <c r="W38" s="10">
        <v>15471</v>
      </c>
      <c r="X38" s="10">
        <v>45563</v>
      </c>
      <c r="Y38" s="10">
        <v>39717</v>
      </c>
      <c r="Z38" s="10">
        <v>12415</v>
      </c>
      <c r="AA38" s="10">
        <v>23611</v>
      </c>
      <c r="AB38">
        <v>0</v>
      </c>
      <c r="AC38" s="10">
        <f>8123+30480+19792</f>
        <v>58395</v>
      </c>
      <c r="AD38" s="10">
        <v>2287</v>
      </c>
      <c r="AE38" s="10">
        <v>11570</v>
      </c>
      <c r="AF38" s="10">
        <v>48702</v>
      </c>
      <c r="AG38" s="10">
        <v>59273</v>
      </c>
      <c r="AH38" s="10">
        <v>477128</v>
      </c>
      <c r="AI38" s="10">
        <v>502168</v>
      </c>
      <c r="AJ38" s="23">
        <f t="shared" si="5"/>
        <v>0.12422871849901913</v>
      </c>
      <c r="AK38" s="10">
        <v>91550</v>
      </c>
      <c r="AL38" s="10">
        <v>486</v>
      </c>
      <c r="AM38" s="10">
        <v>126473</v>
      </c>
      <c r="AN38" s="10">
        <v>0</v>
      </c>
      <c r="AO38" s="10">
        <v>61101</v>
      </c>
      <c r="AP38" s="10">
        <v>0</v>
      </c>
      <c r="AQ38" s="10">
        <v>0</v>
      </c>
      <c r="AR38" s="10">
        <v>0</v>
      </c>
      <c r="AS38" s="10">
        <v>3268</v>
      </c>
      <c r="AT38" s="10">
        <v>2305</v>
      </c>
      <c r="AU38" s="10">
        <v>-193</v>
      </c>
      <c r="AV38" s="10">
        <v>-926</v>
      </c>
      <c r="AW38" s="10">
        <v>-604</v>
      </c>
      <c r="AX38" s="10">
        <f>-46+18</f>
        <v>-28</v>
      </c>
      <c r="AY38" s="10">
        <f t="shared" si="6"/>
        <v>3822</v>
      </c>
      <c r="AZ38" s="1">
        <v>4</v>
      </c>
      <c r="BA38" s="1" t="s">
        <v>406</v>
      </c>
      <c r="BB38" s="1" t="s">
        <v>406</v>
      </c>
      <c r="BC38" s="1" t="s">
        <v>406</v>
      </c>
      <c r="BD38" s="1" t="s">
        <v>406</v>
      </c>
    </row>
    <row r="39" spans="1:56" x14ac:dyDescent="0.25">
      <c r="A39" s="1">
        <v>4</v>
      </c>
      <c r="B39" s="1" t="s">
        <v>320</v>
      </c>
      <c r="C39" s="7" t="s">
        <v>588</v>
      </c>
      <c r="D39" s="1" t="s">
        <v>83</v>
      </c>
      <c r="E39" s="1" t="s">
        <v>369</v>
      </c>
      <c r="F39" s="7"/>
      <c r="G39" s="7" t="s">
        <v>362</v>
      </c>
      <c r="H39" s="10">
        <v>18827932</v>
      </c>
      <c r="I39" s="10">
        <v>1501810</v>
      </c>
      <c r="J39" s="10">
        <v>8130181</v>
      </c>
      <c r="K39" s="10">
        <v>3149027</v>
      </c>
      <c r="L39" s="10">
        <v>3989692</v>
      </c>
      <c r="M39" s="10">
        <v>521663</v>
      </c>
      <c r="N39" s="10">
        <v>24800</v>
      </c>
      <c r="O39" s="10">
        <v>16472879</v>
      </c>
      <c r="P39" s="23">
        <v>0.14000000000000001</v>
      </c>
      <c r="Q39" s="10">
        <v>0</v>
      </c>
      <c r="R39" s="27">
        <f>657552/16448079</f>
        <v>3.9977434446904103E-2</v>
      </c>
      <c r="S39" s="10">
        <v>657516</v>
      </c>
      <c r="T39" s="10">
        <v>0</v>
      </c>
      <c r="U39" s="10">
        <f>90243+3401+1031</f>
        <v>94675</v>
      </c>
      <c r="V39" s="10">
        <v>269878</v>
      </c>
      <c r="W39" s="10">
        <v>21804</v>
      </c>
      <c r="X39" s="10">
        <v>47270</v>
      </c>
      <c r="Y39" s="10">
        <f>68913+3136</f>
        <v>72049</v>
      </c>
      <c r="Z39" s="10">
        <v>27380</v>
      </c>
      <c r="AA39" s="10">
        <v>89184</v>
      </c>
      <c r="AB39" s="10">
        <v>0</v>
      </c>
      <c r="AC39" s="10">
        <f>3718+48321+22082</f>
        <v>74121</v>
      </c>
      <c r="AD39" s="10">
        <v>5749</v>
      </c>
      <c r="AE39" s="10">
        <v>2077</v>
      </c>
      <c r="AF39" s="10">
        <v>2866</v>
      </c>
      <c r="AG39" s="10">
        <v>52879</v>
      </c>
      <c r="AH39" s="10">
        <v>637135</v>
      </c>
      <c r="AI39" s="10">
        <v>634356</v>
      </c>
      <c r="AJ39" s="23">
        <f t="shared" si="5"/>
        <v>8.2994969668908472E-2</v>
      </c>
      <c r="AK39" s="10">
        <v>69749</v>
      </c>
      <c r="AL39" s="10">
        <v>0</v>
      </c>
      <c r="AM39" s="10">
        <v>126473</v>
      </c>
      <c r="AN39" s="10">
        <v>0</v>
      </c>
      <c r="AO39" s="10">
        <v>84632</v>
      </c>
      <c r="AP39" s="10">
        <v>0</v>
      </c>
      <c r="AQ39" s="10">
        <v>0</v>
      </c>
      <c r="AR39" s="10">
        <v>0</v>
      </c>
      <c r="AS39" s="10">
        <v>4589</v>
      </c>
      <c r="AT39" s="10">
        <v>3980</v>
      </c>
      <c r="AU39" s="10">
        <v>-654</v>
      </c>
      <c r="AV39" s="10">
        <v>-1687</v>
      </c>
      <c r="AW39" s="10">
        <v>-474</v>
      </c>
      <c r="AX39" s="10">
        <f>1+15</f>
        <v>16</v>
      </c>
      <c r="AY39" s="10">
        <f t="shared" si="6"/>
        <v>5770</v>
      </c>
      <c r="AZ39" s="1">
        <v>10</v>
      </c>
      <c r="BA39" s="1" t="s">
        <v>406</v>
      </c>
      <c r="BB39" s="1" t="s">
        <v>406</v>
      </c>
      <c r="BC39" s="1" t="s">
        <v>406</v>
      </c>
      <c r="BD39" s="1" t="s">
        <v>406</v>
      </c>
    </row>
    <row r="40" spans="1:56" x14ac:dyDescent="0.25">
      <c r="A40" s="1">
        <v>4</v>
      </c>
      <c r="B40" s="1" t="s">
        <v>333</v>
      </c>
      <c r="C40" s="1" t="s">
        <v>234</v>
      </c>
      <c r="D40" s="1" t="s">
        <v>473</v>
      </c>
      <c r="E40" s="1" t="s">
        <v>612</v>
      </c>
      <c r="F40" s="7" t="s">
        <v>188</v>
      </c>
      <c r="G40" s="7" t="s">
        <v>615</v>
      </c>
      <c r="H40" s="10">
        <v>6580542</v>
      </c>
      <c r="I40" s="10">
        <v>88071</v>
      </c>
      <c r="J40" s="10">
        <v>3137573</v>
      </c>
      <c r="K40" s="10">
        <v>753525</v>
      </c>
      <c r="L40" s="10">
        <v>919515</v>
      </c>
      <c r="M40" s="10">
        <v>740819</v>
      </c>
      <c r="N40" s="10">
        <v>0</v>
      </c>
      <c r="O40" s="10">
        <v>5990356</v>
      </c>
      <c r="P40" s="23">
        <v>0</v>
      </c>
      <c r="Q40" s="10">
        <v>0</v>
      </c>
      <c r="R40" s="27">
        <f>387575/5940005</f>
        <v>6.5248261575537397E-2</v>
      </c>
      <c r="S40" s="10">
        <v>388573</v>
      </c>
      <c r="T40" s="10">
        <v>0</v>
      </c>
      <c r="U40" s="10">
        <f>6121+740+1855</f>
        <v>8716</v>
      </c>
      <c r="V40" s="10">
        <v>155113</v>
      </c>
      <c r="W40" s="10">
        <v>11867</v>
      </c>
      <c r="X40" s="10">
        <v>22222</v>
      </c>
      <c r="Y40" s="10">
        <v>17600</v>
      </c>
      <c r="Z40" s="10">
        <v>5568</v>
      </c>
      <c r="AA40" s="10">
        <v>27314</v>
      </c>
      <c r="AB40" s="10">
        <v>0</v>
      </c>
      <c r="AC40" s="10">
        <f>4433+13173+10295</f>
        <v>27901</v>
      </c>
      <c r="AD40" s="10">
        <v>1742</v>
      </c>
      <c r="AE40" s="10">
        <v>1333</v>
      </c>
      <c r="AF40" s="10">
        <v>62004</v>
      </c>
      <c r="AG40" s="10">
        <v>0</v>
      </c>
      <c r="AH40" s="10">
        <v>346090</v>
      </c>
      <c r="AI40" s="10">
        <v>411322</v>
      </c>
      <c r="AJ40" s="23">
        <f t="shared" si="5"/>
        <v>0</v>
      </c>
      <c r="AK40" s="10">
        <v>135396</v>
      </c>
      <c r="AL40" s="10">
        <v>0</v>
      </c>
      <c r="AM40" s="10">
        <v>109148</v>
      </c>
      <c r="AN40" s="10">
        <v>0</v>
      </c>
      <c r="AO40" s="10">
        <v>0</v>
      </c>
      <c r="AP40" s="10">
        <v>0</v>
      </c>
      <c r="AQ40" s="10">
        <v>0</v>
      </c>
      <c r="AR40" s="10">
        <v>0</v>
      </c>
      <c r="AS40" s="10">
        <v>1789</v>
      </c>
      <c r="AT40" s="10">
        <v>979</v>
      </c>
      <c r="AU40" s="10">
        <v>-172</v>
      </c>
      <c r="AV40" s="10">
        <v>-164</v>
      </c>
      <c r="AW40" s="10">
        <v>-131</v>
      </c>
      <c r="AX40" s="10">
        <v>0</v>
      </c>
      <c r="AY40" s="10">
        <f t="shared" si="6"/>
        <v>2301</v>
      </c>
      <c r="AZ40" s="1">
        <v>6</v>
      </c>
      <c r="BA40" s="1" t="s">
        <v>406</v>
      </c>
      <c r="BB40" s="1" t="s">
        <v>406</v>
      </c>
      <c r="BC40" s="1" t="s">
        <v>406</v>
      </c>
      <c r="BD40" s="1" t="s">
        <v>406</v>
      </c>
    </row>
    <row r="41" spans="1:56" x14ac:dyDescent="0.25">
      <c r="A41" s="1">
        <v>4</v>
      </c>
      <c r="B41" s="1" t="s">
        <v>334</v>
      </c>
      <c r="C41" s="7" t="s">
        <v>481</v>
      </c>
      <c r="D41" s="1" t="s">
        <v>132</v>
      </c>
      <c r="E41" s="1" t="s">
        <v>537</v>
      </c>
      <c r="F41" s="7"/>
      <c r="G41" s="7" t="s">
        <v>555</v>
      </c>
      <c r="H41" s="10">
        <v>12053704</v>
      </c>
      <c r="I41" s="10">
        <v>185902</v>
      </c>
      <c r="J41" s="10">
        <v>8013552</v>
      </c>
      <c r="K41" s="10">
        <v>569217</v>
      </c>
      <c r="L41" s="10">
        <v>2083134</v>
      </c>
      <c r="M41" s="10">
        <v>497216</v>
      </c>
      <c r="N41" s="10">
        <v>7951</v>
      </c>
      <c r="O41" s="10">
        <v>11691244</v>
      </c>
      <c r="P41" s="23">
        <v>8.5000000000000006E-2</v>
      </c>
      <c r="Q41" s="10">
        <v>0</v>
      </c>
      <c r="R41" s="27">
        <f>512320/11677280</f>
        <v>4.3873230752366987E-2</v>
      </c>
      <c r="S41" s="10">
        <v>510793</v>
      </c>
      <c r="T41" s="10">
        <v>0</v>
      </c>
      <c r="U41" s="10">
        <f>25973+1013</f>
        <v>26986</v>
      </c>
      <c r="V41" s="10">
        <v>215927</v>
      </c>
      <c r="W41" s="10">
        <v>18018</v>
      </c>
      <c r="X41" s="10">
        <v>28286</v>
      </c>
      <c r="Y41" s="10">
        <f>34992+4375</f>
        <v>39367</v>
      </c>
      <c r="Z41" s="10">
        <v>1194</v>
      </c>
      <c r="AA41" s="10">
        <v>17148</v>
      </c>
      <c r="AB41" s="10">
        <v>0</v>
      </c>
      <c r="AC41" s="10">
        <f>6375+35114+23851</f>
        <v>65340</v>
      </c>
      <c r="AD41" s="10">
        <v>1850</v>
      </c>
      <c r="AE41" s="10">
        <v>0</v>
      </c>
      <c r="AF41" s="10">
        <v>1034</v>
      </c>
      <c r="AG41" s="10">
        <v>34992</v>
      </c>
      <c r="AH41" s="10">
        <v>432694</v>
      </c>
      <c r="AI41" s="10">
        <v>438540</v>
      </c>
      <c r="AJ41" s="23">
        <f t="shared" si="5"/>
        <v>8.0870083708117046E-2</v>
      </c>
      <c r="AK41" s="10">
        <v>67340</v>
      </c>
      <c r="AL41" s="10">
        <v>0</v>
      </c>
      <c r="AM41" s="10">
        <v>126473</v>
      </c>
      <c r="AN41" s="10">
        <v>0</v>
      </c>
      <c r="AO41" s="10">
        <v>54752</v>
      </c>
      <c r="AP41" s="10">
        <v>0</v>
      </c>
      <c r="AQ41" s="10">
        <v>0</v>
      </c>
      <c r="AR41" s="10">
        <v>0</v>
      </c>
      <c r="AS41" s="10">
        <v>3045</v>
      </c>
      <c r="AT41" s="10">
        <v>1822</v>
      </c>
      <c r="AU41" s="10">
        <v>-87</v>
      </c>
      <c r="AV41" s="10">
        <v>-812</v>
      </c>
      <c r="AW41" s="10">
        <v>-510</v>
      </c>
      <c r="AX41" s="10">
        <v>57</v>
      </c>
      <c r="AY41" s="10">
        <f t="shared" si="6"/>
        <v>3515</v>
      </c>
      <c r="AZ41" s="1">
        <v>3</v>
      </c>
      <c r="BA41" s="1" t="s">
        <v>406</v>
      </c>
      <c r="BB41" s="1" t="s">
        <v>406</v>
      </c>
      <c r="BC41" s="1" t="s">
        <v>406</v>
      </c>
      <c r="BD41" s="1" t="s">
        <v>406</v>
      </c>
    </row>
    <row r="42" spans="1:56" x14ac:dyDescent="0.25">
      <c r="A42" s="1">
        <v>4</v>
      </c>
      <c r="B42" s="1" t="s">
        <v>395</v>
      </c>
      <c r="C42" s="7" t="s">
        <v>328</v>
      </c>
      <c r="D42" s="1" t="s">
        <v>348</v>
      </c>
      <c r="E42" s="1" t="s">
        <v>612</v>
      </c>
      <c r="F42" s="7" t="s">
        <v>630</v>
      </c>
      <c r="G42" s="7" t="s">
        <v>615</v>
      </c>
      <c r="H42" s="10">
        <v>5218392</v>
      </c>
      <c r="I42" s="10">
        <v>145398</v>
      </c>
      <c r="J42" s="10">
        <v>2184358</v>
      </c>
      <c r="K42" s="10">
        <v>283527</v>
      </c>
      <c r="L42" s="10">
        <v>1355580</v>
      </c>
      <c r="M42" s="10">
        <v>849112</v>
      </c>
      <c r="N42" s="10">
        <v>0</v>
      </c>
      <c r="O42" s="10">
        <v>4982481</v>
      </c>
      <c r="P42" s="23">
        <v>0.1225</v>
      </c>
      <c r="Q42" s="10">
        <v>0</v>
      </c>
      <c r="R42" s="27">
        <f>302276/4984749</f>
        <v>6.0640164630154897E-2</v>
      </c>
      <c r="S42" s="10">
        <v>302694</v>
      </c>
      <c r="T42" s="10">
        <v>0</v>
      </c>
      <c r="U42" s="10">
        <f>6442+621+807</f>
        <v>7870</v>
      </c>
      <c r="V42" s="10">
        <v>45387</v>
      </c>
      <c r="W42" s="10">
        <v>3520</v>
      </c>
      <c r="X42" s="10">
        <v>9054</v>
      </c>
      <c r="Y42" s="10">
        <v>12240</v>
      </c>
      <c r="Z42" s="10">
        <v>7939</v>
      </c>
      <c r="AA42" s="10">
        <v>17009</v>
      </c>
      <c r="AB42" s="10">
        <v>15144</v>
      </c>
      <c r="AC42" s="10">
        <f>11074+5396+6869</f>
        <v>23339</v>
      </c>
      <c r="AD42" s="10">
        <v>4075</v>
      </c>
      <c r="AE42" s="10">
        <v>5870</v>
      </c>
      <c r="AF42" s="10">
        <v>27081</v>
      </c>
      <c r="AG42" s="10">
        <v>71234</v>
      </c>
      <c r="AH42" s="10">
        <v>184101</v>
      </c>
      <c r="AI42" s="10">
        <v>184731</v>
      </c>
      <c r="AJ42" s="23">
        <f t="shared" si="5"/>
        <v>0.38692891402002161</v>
      </c>
      <c r="AK42" s="10">
        <v>23048</v>
      </c>
      <c r="AL42" s="10">
        <v>0</v>
      </c>
      <c r="AM42" s="10">
        <v>126473</v>
      </c>
      <c r="AN42" s="10">
        <v>0</v>
      </c>
      <c r="AO42" s="10">
        <v>23037</v>
      </c>
      <c r="AP42" s="10">
        <v>0</v>
      </c>
      <c r="AQ42" s="10">
        <v>0</v>
      </c>
      <c r="AR42" s="10">
        <v>0</v>
      </c>
      <c r="AS42" s="10">
        <v>1272</v>
      </c>
      <c r="AT42" s="10">
        <v>921</v>
      </c>
      <c r="AU42" s="10">
        <v>-110</v>
      </c>
      <c r="AV42" s="10">
        <v>-206</v>
      </c>
      <c r="AW42" s="10">
        <v>-174</v>
      </c>
      <c r="AX42" s="10">
        <v>-1</v>
      </c>
      <c r="AY42" s="10">
        <f t="shared" si="6"/>
        <v>1702</v>
      </c>
      <c r="AZ42" s="1">
        <v>4</v>
      </c>
      <c r="BA42" s="1" t="s">
        <v>406</v>
      </c>
      <c r="BB42" s="1" t="s">
        <v>406</v>
      </c>
      <c r="BC42" s="1" t="s">
        <v>406</v>
      </c>
      <c r="BD42" s="1" t="s">
        <v>406</v>
      </c>
    </row>
    <row r="43" spans="1:56" x14ac:dyDescent="0.25">
      <c r="A43" s="1">
        <v>4</v>
      </c>
      <c r="B43" s="1" t="s">
        <v>396</v>
      </c>
      <c r="C43" s="1" t="s">
        <v>256</v>
      </c>
      <c r="D43" s="1" t="s">
        <v>114</v>
      </c>
      <c r="E43" s="1" t="s">
        <v>647</v>
      </c>
      <c r="F43" s="7" t="s">
        <v>430</v>
      </c>
      <c r="G43" s="7" t="s">
        <v>629</v>
      </c>
      <c r="H43" s="10">
        <v>5448961</v>
      </c>
      <c r="I43" s="10">
        <v>156288</v>
      </c>
      <c r="J43" s="10">
        <v>2475201</v>
      </c>
      <c r="K43" s="10">
        <v>1067699</v>
      </c>
      <c r="L43" s="10">
        <v>1089386</v>
      </c>
      <c r="M43" s="10">
        <v>200702</v>
      </c>
      <c r="N43" s="10">
        <v>0</v>
      </c>
      <c r="O43" s="10">
        <v>5196802</v>
      </c>
      <c r="P43" s="23">
        <v>5.8999999999999997E-2</v>
      </c>
      <c r="Q43" s="10">
        <f>61575+16098</f>
        <v>77673</v>
      </c>
      <c r="R43" s="27">
        <f>371011/5196801</f>
        <v>7.1392189156367539E-2</v>
      </c>
      <c r="S43" s="10">
        <v>363814</v>
      </c>
      <c r="T43" s="10">
        <v>0</v>
      </c>
      <c r="U43" s="10">
        <f>11928+2694+424</f>
        <v>15046</v>
      </c>
      <c r="V43" s="10">
        <v>87596</v>
      </c>
      <c r="W43" s="10">
        <v>9757</v>
      </c>
      <c r="X43" s="10">
        <v>10552</v>
      </c>
      <c r="Y43" s="10">
        <v>20085</v>
      </c>
      <c r="Z43" s="10">
        <v>14200</v>
      </c>
      <c r="AA43" s="10">
        <v>72338</v>
      </c>
      <c r="AB43" s="10">
        <v>0</v>
      </c>
      <c r="AC43" s="10">
        <f>5637+15326+8592</f>
        <v>29555</v>
      </c>
      <c r="AD43" s="10">
        <v>2446</v>
      </c>
      <c r="AE43" s="10">
        <v>4699</v>
      </c>
      <c r="AF43" s="10">
        <v>5137</v>
      </c>
      <c r="AG43" s="10">
        <v>0</v>
      </c>
      <c r="AH43" s="10">
        <v>281686</v>
      </c>
      <c r="AI43" s="10">
        <v>291325</v>
      </c>
      <c r="AJ43" s="23">
        <f t="shared" si="5"/>
        <v>0</v>
      </c>
      <c r="AK43" s="10">
        <v>51997</v>
      </c>
      <c r="AL43" s="10">
        <v>0</v>
      </c>
      <c r="AM43" s="10">
        <v>126473</v>
      </c>
      <c r="AN43" s="10">
        <v>0</v>
      </c>
      <c r="AO43" s="10">
        <v>21788</v>
      </c>
      <c r="AP43" s="10">
        <v>0</v>
      </c>
      <c r="AQ43" s="10">
        <v>0</v>
      </c>
      <c r="AR43" s="10">
        <v>0</v>
      </c>
      <c r="AS43" s="10">
        <v>1270</v>
      </c>
      <c r="AT43">
        <v>533</v>
      </c>
      <c r="AU43" s="10">
        <v>-135</v>
      </c>
      <c r="AV43" s="10">
        <v>-104</v>
      </c>
      <c r="AW43" s="10">
        <v>-246</v>
      </c>
      <c r="AX43" s="10">
        <v>-33</v>
      </c>
      <c r="AY43" s="10">
        <f t="shared" si="6"/>
        <v>1285</v>
      </c>
      <c r="AZ43" s="1">
        <v>18</v>
      </c>
      <c r="BA43" s="1" t="s">
        <v>406</v>
      </c>
      <c r="BB43" s="1" t="s">
        <v>406</v>
      </c>
      <c r="BC43" s="1" t="s">
        <v>406</v>
      </c>
      <c r="BD43" s="1" t="s">
        <v>406</v>
      </c>
    </row>
    <row r="44" spans="1:56" x14ac:dyDescent="0.25">
      <c r="A44" s="1">
        <v>4</v>
      </c>
      <c r="B44" s="1" t="s">
        <v>423</v>
      </c>
      <c r="C44" s="7" t="s">
        <v>151</v>
      </c>
      <c r="D44" s="1" t="s">
        <v>621</v>
      </c>
      <c r="E44" s="1" t="s">
        <v>158</v>
      </c>
      <c r="F44" s="7"/>
      <c r="G44" s="7" t="s">
        <v>181</v>
      </c>
      <c r="H44" s="10">
        <v>3684446</v>
      </c>
      <c r="I44" s="10">
        <v>182426</v>
      </c>
      <c r="J44" s="10">
        <v>1630353</v>
      </c>
      <c r="K44" s="10">
        <v>618526</v>
      </c>
      <c r="L44" s="10">
        <v>761061</v>
      </c>
      <c r="M44" s="10">
        <v>94430</v>
      </c>
      <c r="N44" s="10">
        <v>0</v>
      </c>
      <c r="O44" s="10">
        <v>3449182</v>
      </c>
      <c r="P44" s="23">
        <v>0.1181</v>
      </c>
      <c r="Q44" s="10">
        <v>0</v>
      </c>
      <c r="R44" s="27">
        <f>344918/3449182</f>
        <v>9.9999942015237236E-2</v>
      </c>
      <c r="S44" s="10">
        <v>344812</v>
      </c>
      <c r="T44" s="10">
        <v>0</v>
      </c>
      <c r="U44" s="10">
        <f>12639+310</f>
        <v>12949</v>
      </c>
      <c r="V44" s="10">
        <v>56160</v>
      </c>
      <c r="W44" s="10">
        <v>6661</v>
      </c>
      <c r="X44" s="10">
        <v>4521</v>
      </c>
      <c r="Y44" s="10">
        <f>36780+2017</f>
        <v>38797</v>
      </c>
      <c r="Z44" s="10">
        <v>9165</v>
      </c>
      <c r="AA44" s="10">
        <v>50163</v>
      </c>
      <c r="AB44" s="10">
        <v>0</v>
      </c>
      <c r="AC44" s="10">
        <f>3593+7903+8107</f>
        <v>19603</v>
      </c>
      <c r="AD44" s="10">
        <v>475</v>
      </c>
      <c r="AE44" s="10">
        <v>0</v>
      </c>
      <c r="AF44" s="10">
        <v>12893</v>
      </c>
      <c r="AG44" s="10">
        <v>0</v>
      </c>
      <c r="AH44" s="10">
        <v>219251</v>
      </c>
      <c r="AI44" s="10">
        <v>239850</v>
      </c>
      <c r="AJ44" s="23">
        <f t="shared" ref="AJ44:AJ75" si="7">AG44/AH44</f>
        <v>0</v>
      </c>
      <c r="AK44" s="10">
        <v>20392</v>
      </c>
      <c r="AL44" s="10">
        <v>0</v>
      </c>
      <c r="AM44" s="10">
        <v>126473</v>
      </c>
      <c r="AN44" s="10">
        <v>0</v>
      </c>
      <c r="AO44" s="10">
        <v>32926</v>
      </c>
      <c r="AP44" s="10">
        <v>0</v>
      </c>
      <c r="AQ44" s="10">
        <v>0</v>
      </c>
      <c r="AR44" s="10">
        <v>0</v>
      </c>
      <c r="AS44" s="10">
        <v>960</v>
      </c>
      <c r="AT44" s="10">
        <v>871</v>
      </c>
      <c r="AU44" s="10">
        <v>-100</v>
      </c>
      <c r="AV44" s="10">
        <v>-478</v>
      </c>
      <c r="AW44" s="10">
        <v>-104</v>
      </c>
      <c r="AX44" s="10">
        <f>2+10-5</f>
        <v>7</v>
      </c>
      <c r="AY44" s="10">
        <f t="shared" ref="AY44:AY75" si="8">SUM(AS44:AX44)</f>
        <v>1156</v>
      </c>
      <c r="AZ44" s="1">
        <v>0</v>
      </c>
      <c r="BA44" s="1" t="s">
        <v>406</v>
      </c>
      <c r="BB44" s="1" t="s">
        <v>406</v>
      </c>
      <c r="BC44" s="1" t="s">
        <v>406</v>
      </c>
      <c r="BD44" s="1" t="s">
        <v>406</v>
      </c>
    </row>
    <row r="45" spans="1:56" x14ac:dyDescent="0.25">
      <c r="A45" s="1">
        <v>4</v>
      </c>
      <c r="B45" s="1" t="s">
        <v>438</v>
      </c>
      <c r="C45" s="7" t="s">
        <v>236</v>
      </c>
      <c r="D45" s="1" t="s">
        <v>31</v>
      </c>
      <c r="E45" s="1" t="s">
        <v>612</v>
      </c>
      <c r="F45" s="7" t="s">
        <v>188</v>
      </c>
      <c r="G45" s="7" t="s">
        <v>615</v>
      </c>
      <c r="H45" s="10">
        <v>7106864</v>
      </c>
      <c r="I45" s="10">
        <v>307085</v>
      </c>
      <c r="J45" s="10">
        <v>2936715</v>
      </c>
      <c r="K45" s="10">
        <v>1050267</v>
      </c>
      <c r="L45" s="10">
        <v>1768945</v>
      </c>
      <c r="M45" s="10">
        <v>321458</v>
      </c>
      <c r="N45" s="10">
        <v>0</v>
      </c>
      <c r="O45" s="10">
        <v>6469735</v>
      </c>
      <c r="P45" s="23">
        <v>0.15</v>
      </c>
      <c r="Q45" s="10">
        <v>0</v>
      </c>
      <c r="R45" s="27">
        <f>394666/6469435</f>
        <v>6.100470906655682E-2</v>
      </c>
      <c r="S45" s="10">
        <v>392050</v>
      </c>
      <c r="T45" s="10">
        <v>0</v>
      </c>
      <c r="U45" s="10">
        <f>26487+204+490</f>
        <v>27181</v>
      </c>
      <c r="V45" s="10">
        <v>107555</v>
      </c>
      <c r="W45" s="10">
        <v>8687</v>
      </c>
      <c r="X45" s="10">
        <v>33988</v>
      </c>
      <c r="Y45" s="10">
        <v>33267</v>
      </c>
      <c r="Z45" s="10">
        <v>8053</v>
      </c>
      <c r="AA45" s="10">
        <v>13500</v>
      </c>
      <c r="AB45" s="10">
        <v>1361</v>
      </c>
      <c r="AC45" s="10">
        <f>5617+12066+11656</f>
        <v>29339</v>
      </c>
      <c r="AD45" s="10">
        <v>5910</v>
      </c>
      <c r="AE45" s="10">
        <v>0</v>
      </c>
      <c r="AF45" s="10">
        <v>7601</v>
      </c>
      <c r="AG45" s="10">
        <v>84630</v>
      </c>
      <c r="AH45" s="10">
        <v>273154</v>
      </c>
      <c r="AI45" s="10">
        <v>288301</v>
      </c>
      <c r="AJ45" s="23">
        <f t="shared" si="7"/>
        <v>0.30982522679514118</v>
      </c>
      <c r="AK45" s="10">
        <v>25672</v>
      </c>
      <c r="AL45" s="10">
        <v>0</v>
      </c>
      <c r="AM45" s="10">
        <v>126473</v>
      </c>
      <c r="AN45" s="10">
        <v>0</v>
      </c>
      <c r="AO45" s="10">
        <v>45271</v>
      </c>
      <c r="AP45" s="10">
        <v>0</v>
      </c>
      <c r="AQ45" s="10">
        <v>0</v>
      </c>
      <c r="AR45" s="10">
        <v>0</v>
      </c>
      <c r="AS45" s="10">
        <v>1153</v>
      </c>
      <c r="AT45" s="10">
        <f>1207+34</f>
        <v>1241</v>
      </c>
      <c r="AU45" s="10">
        <v>-172</v>
      </c>
      <c r="AV45" s="10">
        <v>-540</v>
      </c>
      <c r="AW45" s="10">
        <v>-99</v>
      </c>
      <c r="AX45" s="10">
        <v>-7</v>
      </c>
      <c r="AY45" s="10">
        <f t="shared" si="8"/>
        <v>1576</v>
      </c>
      <c r="AZ45" s="1">
        <v>14</v>
      </c>
      <c r="BA45" s="1">
        <v>60</v>
      </c>
      <c r="BB45" s="1">
        <v>11</v>
      </c>
      <c r="BC45" s="1">
        <v>19</v>
      </c>
      <c r="BD45" s="1">
        <v>9</v>
      </c>
    </row>
    <row r="46" spans="1:56" x14ac:dyDescent="0.25">
      <c r="A46" s="1">
        <v>4</v>
      </c>
      <c r="B46" s="1" t="s">
        <v>456</v>
      </c>
      <c r="C46" s="7" t="s">
        <v>256</v>
      </c>
      <c r="D46" s="1" t="s">
        <v>115</v>
      </c>
      <c r="E46" s="1" t="s">
        <v>612</v>
      </c>
      <c r="F46" s="7" t="s">
        <v>630</v>
      </c>
      <c r="G46" s="7" t="s">
        <v>615</v>
      </c>
      <c r="H46" s="10">
        <v>2135435</v>
      </c>
      <c r="I46" s="10">
        <v>227595</v>
      </c>
      <c r="J46" s="10">
        <v>751288</v>
      </c>
      <c r="K46" s="10">
        <v>229835</v>
      </c>
      <c r="L46" s="10">
        <v>549290</v>
      </c>
      <c r="M46" s="10">
        <v>149990</v>
      </c>
      <c r="N46" s="10">
        <v>0</v>
      </c>
      <c r="O46" s="10">
        <v>1861013</v>
      </c>
      <c r="P46" s="23">
        <v>0.16</v>
      </c>
      <c r="Q46" s="10">
        <v>0</v>
      </c>
      <c r="R46" s="27">
        <f>177641/1861280</f>
        <v>9.5440234677211383E-2</v>
      </c>
      <c r="S46" s="10">
        <v>177461</v>
      </c>
      <c r="T46" s="10">
        <v>0</v>
      </c>
      <c r="U46" s="10">
        <f>6806+510+320</f>
        <v>7636</v>
      </c>
      <c r="V46" s="10">
        <v>39180</v>
      </c>
      <c r="W46" s="10">
        <v>3065</v>
      </c>
      <c r="X46" s="10">
        <v>7001</v>
      </c>
      <c r="Y46" s="10">
        <f>7055+613</f>
        <v>7668</v>
      </c>
      <c r="Z46" s="10">
        <v>0</v>
      </c>
      <c r="AA46" s="10">
        <v>2200</v>
      </c>
      <c r="AB46" s="10">
        <v>0</v>
      </c>
      <c r="AC46" s="10">
        <f>1228+3997+2623</f>
        <v>7848</v>
      </c>
      <c r="AD46" s="10">
        <v>3219</v>
      </c>
      <c r="AE46" s="10">
        <v>0</v>
      </c>
      <c r="AF46" s="10">
        <v>4024</v>
      </c>
      <c r="AG46" s="10">
        <v>4920</v>
      </c>
      <c r="AH46" s="10">
        <v>85481</v>
      </c>
      <c r="AI46" s="10">
        <v>86273</v>
      </c>
      <c r="AJ46" s="23">
        <f t="shared" si="7"/>
        <v>5.7556650015792986E-2</v>
      </c>
      <c r="AK46" s="10">
        <v>9549</v>
      </c>
      <c r="AL46" s="10">
        <v>0</v>
      </c>
      <c r="AM46" s="10">
        <v>95392</v>
      </c>
      <c r="AN46" s="10">
        <v>0</v>
      </c>
      <c r="AO46" s="10">
        <v>13739</v>
      </c>
      <c r="AP46" s="10">
        <v>0</v>
      </c>
      <c r="AQ46" s="10">
        <v>0</v>
      </c>
      <c r="AR46" s="10">
        <v>0</v>
      </c>
      <c r="AS46" s="10">
        <v>442</v>
      </c>
      <c r="AT46" s="10">
        <v>267</v>
      </c>
      <c r="AU46" s="10">
        <v>-46</v>
      </c>
      <c r="AV46" s="10">
        <v>-61</v>
      </c>
      <c r="AW46" s="10">
        <v>-59</v>
      </c>
      <c r="AX46" s="10">
        <f>6-1</f>
        <v>5</v>
      </c>
      <c r="AY46" s="10">
        <f t="shared" si="8"/>
        <v>548</v>
      </c>
      <c r="AZ46" s="1">
        <v>9</v>
      </c>
      <c r="BA46" s="1" t="s">
        <v>406</v>
      </c>
      <c r="BB46" s="1" t="s">
        <v>406</v>
      </c>
      <c r="BC46" s="1" t="s">
        <v>406</v>
      </c>
      <c r="BD46" s="1" t="s">
        <v>406</v>
      </c>
    </row>
    <row r="47" spans="1:56" x14ac:dyDescent="0.25">
      <c r="A47" s="1">
        <v>4</v>
      </c>
      <c r="B47" s="1" t="s">
        <v>532</v>
      </c>
      <c r="C47" s="7" t="s">
        <v>221</v>
      </c>
      <c r="D47" s="1" t="s">
        <v>473</v>
      </c>
      <c r="E47" s="1" t="s">
        <v>612</v>
      </c>
      <c r="F47" s="7" t="s">
        <v>188</v>
      </c>
      <c r="G47" s="7" t="s">
        <v>615</v>
      </c>
      <c r="H47" s="10">
        <v>21588282</v>
      </c>
      <c r="I47" s="10">
        <v>593699</v>
      </c>
      <c r="J47" s="10">
        <v>11650661</v>
      </c>
      <c r="K47" s="10">
        <v>2255303</v>
      </c>
      <c r="L47" s="10">
        <v>3695193</v>
      </c>
      <c r="M47" s="10">
        <v>2232547</v>
      </c>
      <c r="N47" s="10">
        <v>0</v>
      </c>
      <c r="O47" s="10">
        <v>20674272</v>
      </c>
      <c r="P47" s="23">
        <v>2.8000000000000001E-2</v>
      </c>
      <c r="Q47" s="10">
        <v>0</v>
      </c>
      <c r="R47" s="27">
        <f>1017487/20674272</f>
        <v>4.9215130767361483E-2</v>
      </c>
      <c r="S47" s="10">
        <v>1015808</v>
      </c>
      <c r="T47" s="10">
        <v>0</v>
      </c>
      <c r="U47" s="10">
        <f>29556+2210+2534</f>
        <v>34300</v>
      </c>
      <c r="V47" s="10">
        <v>419392</v>
      </c>
      <c r="W47" s="10">
        <v>34741</v>
      </c>
      <c r="X47" s="10">
        <v>71005</v>
      </c>
      <c r="Y47" s="10">
        <v>56628</v>
      </c>
      <c r="Z47" s="10">
        <v>1778</v>
      </c>
      <c r="AA47" s="10">
        <v>16370</v>
      </c>
      <c r="AB47" s="10">
        <v>10880</v>
      </c>
      <c r="AC47" s="10">
        <f>17800+39465+40512</f>
        <v>97777</v>
      </c>
      <c r="AD47" s="10">
        <v>9898</v>
      </c>
      <c r="AE47" s="10">
        <v>16842</v>
      </c>
      <c r="AF47" s="10">
        <v>133639</v>
      </c>
      <c r="AG47" s="10">
        <v>0</v>
      </c>
      <c r="AH47" s="10">
        <v>927605</v>
      </c>
      <c r="AI47" s="10">
        <v>951946</v>
      </c>
      <c r="AJ47" s="23">
        <f t="shared" si="7"/>
        <v>0</v>
      </c>
      <c r="AK47" s="10">
        <v>101027</v>
      </c>
      <c r="AL47" s="10">
        <v>0</v>
      </c>
      <c r="AM47" s="10">
        <v>126473</v>
      </c>
      <c r="AN47" s="10">
        <v>0</v>
      </c>
      <c r="AO47" s="10">
        <v>110692</v>
      </c>
      <c r="AP47" s="10">
        <v>0</v>
      </c>
      <c r="AQ47" s="10">
        <v>0</v>
      </c>
      <c r="AR47" s="10">
        <v>0</v>
      </c>
      <c r="AS47" s="10">
        <v>5121</v>
      </c>
      <c r="AT47" s="10">
        <v>3170</v>
      </c>
      <c r="AU47" s="10">
        <v>-362</v>
      </c>
      <c r="AV47" s="10">
        <v>-1085</v>
      </c>
      <c r="AW47" s="10">
        <v>-792</v>
      </c>
      <c r="AX47" s="10">
        <f>5-3</f>
        <v>2</v>
      </c>
      <c r="AY47" s="10">
        <f t="shared" si="8"/>
        <v>6054</v>
      </c>
      <c r="AZ47" s="1">
        <v>4</v>
      </c>
      <c r="BA47" s="1">
        <v>232</v>
      </c>
      <c r="BB47" s="1">
        <v>96</v>
      </c>
      <c r="BC47" s="1">
        <v>427</v>
      </c>
      <c r="BD47" s="1">
        <v>37</v>
      </c>
    </row>
    <row r="48" spans="1:56" x14ac:dyDescent="0.25">
      <c r="A48" s="1">
        <v>4</v>
      </c>
      <c r="B48" s="1" t="s">
        <v>567</v>
      </c>
      <c r="C48" s="7" t="s">
        <v>639</v>
      </c>
      <c r="D48" s="1" t="s">
        <v>132</v>
      </c>
      <c r="E48" s="1" t="s">
        <v>537</v>
      </c>
      <c r="F48" s="7"/>
      <c r="G48" s="7" t="s">
        <v>555</v>
      </c>
      <c r="H48" s="10">
        <v>22277186</v>
      </c>
      <c r="I48" s="10">
        <v>541471</v>
      </c>
      <c r="J48" s="10">
        <v>13724372</v>
      </c>
      <c r="K48" s="10">
        <v>659476</v>
      </c>
      <c r="L48" s="10">
        <v>4507695</v>
      </c>
      <c r="M48" s="10">
        <v>752552</v>
      </c>
      <c r="N48" s="10">
        <v>0</v>
      </c>
      <c r="O48" s="10">
        <v>20490497</v>
      </c>
      <c r="P48" s="23">
        <v>0.16</v>
      </c>
      <c r="Q48" s="10">
        <v>0</v>
      </c>
      <c r="R48" s="27">
        <f>839842/20483945</f>
        <v>4.1000012448773902E-2</v>
      </c>
      <c r="S48" s="10">
        <v>839850</v>
      </c>
      <c r="T48" s="10">
        <v>0</v>
      </c>
      <c r="U48" s="10">
        <f>100377+911</f>
        <v>101288</v>
      </c>
      <c r="V48" s="10">
        <v>413320</v>
      </c>
      <c r="W48" s="10">
        <v>34486</v>
      </c>
      <c r="X48" s="10">
        <v>56007</v>
      </c>
      <c r="Y48" s="10">
        <f>43645+6446</f>
        <v>50091</v>
      </c>
      <c r="Z48" s="10">
        <v>0</v>
      </c>
      <c r="AA48" s="10">
        <v>17148</v>
      </c>
      <c r="AB48" s="10">
        <v>820</v>
      </c>
      <c r="AC48" s="10">
        <f>10710+65315+45501</f>
        <v>121526</v>
      </c>
      <c r="AD48" s="10">
        <v>3880</v>
      </c>
      <c r="AE48" s="10">
        <v>0</v>
      </c>
      <c r="AF48" s="10">
        <v>94202</v>
      </c>
      <c r="AG48" s="10">
        <v>0</v>
      </c>
      <c r="AH48" s="10">
        <v>841140</v>
      </c>
      <c r="AI48" s="10">
        <v>883316</v>
      </c>
      <c r="AJ48" s="23">
        <f t="shared" si="7"/>
        <v>0</v>
      </c>
      <c r="AK48" s="10">
        <v>104157</v>
      </c>
      <c r="AL48" s="10">
        <v>0</v>
      </c>
      <c r="AM48" s="10">
        <v>126473</v>
      </c>
      <c r="AN48" s="10">
        <v>0</v>
      </c>
      <c r="AO48" s="10">
        <v>77682</v>
      </c>
      <c r="AP48" s="10">
        <v>0</v>
      </c>
      <c r="AQ48" s="10">
        <v>0</v>
      </c>
      <c r="AR48" s="10">
        <v>0</v>
      </c>
      <c r="AS48" s="10">
        <v>4952</v>
      </c>
      <c r="AT48" s="10">
        <v>2727</v>
      </c>
      <c r="AU48" s="10">
        <v>-160</v>
      </c>
      <c r="AV48" s="10">
        <f>-1133-773</f>
        <v>-1906</v>
      </c>
      <c r="AW48" s="10">
        <v>15</v>
      </c>
      <c r="AX48" s="10">
        <v>0</v>
      </c>
      <c r="AY48" s="10">
        <f t="shared" si="8"/>
        <v>5628</v>
      </c>
      <c r="AZ48" s="1">
        <v>1</v>
      </c>
      <c r="BA48" s="1" t="s">
        <v>406</v>
      </c>
      <c r="BB48" s="1" t="s">
        <v>406</v>
      </c>
      <c r="BC48" s="1" t="s">
        <v>406</v>
      </c>
      <c r="BD48" s="1" t="s">
        <v>406</v>
      </c>
    </row>
    <row r="49" spans="1:56" x14ac:dyDescent="0.25">
      <c r="A49" s="1">
        <v>4</v>
      </c>
      <c r="B49" s="1" t="s">
        <v>572</v>
      </c>
      <c r="C49" s="7" t="s">
        <v>285</v>
      </c>
      <c r="D49" s="1" t="s">
        <v>505</v>
      </c>
      <c r="E49" s="1" t="s">
        <v>612</v>
      </c>
      <c r="F49" s="7" t="s">
        <v>630</v>
      </c>
      <c r="G49" s="7" t="s">
        <v>615</v>
      </c>
      <c r="H49" s="10">
        <v>2908584</v>
      </c>
      <c r="I49" s="10">
        <v>54371</v>
      </c>
      <c r="J49" s="10">
        <v>1283623</v>
      </c>
      <c r="K49" s="10">
        <v>243282</v>
      </c>
      <c r="L49" s="10">
        <v>749656</v>
      </c>
      <c r="M49" s="10">
        <v>228234</v>
      </c>
      <c r="N49" s="10">
        <v>0</v>
      </c>
      <c r="O49" s="10">
        <v>2747530</v>
      </c>
      <c r="P49" s="23">
        <v>0.15</v>
      </c>
      <c r="Q49" s="10">
        <v>0</v>
      </c>
      <c r="R49" s="27">
        <f>241289/2747530</f>
        <v>8.7820333171976281E-2</v>
      </c>
      <c r="S49" s="10">
        <v>241274</v>
      </c>
      <c r="T49" s="10">
        <v>0</v>
      </c>
      <c r="U49" s="10">
        <f>4440+439+364</f>
        <v>5243</v>
      </c>
      <c r="V49" s="10">
        <v>60192</v>
      </c>
      <c r="W49" s="10">
        <v>4750</v>
      </c>
      <c r="X49" s="10">
        <v>8167</v>
      </c>
      <c r="Y49" s="10">
        <v>10460</v>
      </c>
      <c r="Z49" s="10">
        <v>0</v>
      </c>
      <c r="AA49" s="10">
        <v>7166</v>
      </c>
      <c r="AB49" s="10">
        <v>0</v>
      </c>
      <c r="AC49" s="10">
        <f>2602+4570+4476</f>
        <v>11648</v>
      </c>
      <c r="AD49" s="10">
        <v>762</v>
      </c>
      <c r="AE49" s="10">
        <v>0</v>
      </c>
      <c r="AF49" s="10">
        <v>3641</v>
      </c>
      <c r="AG49" s="10">
        <v>0</v>
      </c>
      <c r="AH49" s="10">
        <v>116393</v>
      </c>
      <c r="AI49" s="10">
        <v>122729</v>
      </c>
      <c r="AJ49" s="23">
        <f t="shared" si="7"/>
        <v>0</v>
      </c>
      <c r="AK49" s="10">
        <v>15143</v>
      </c>
      <c r="AL49" s="10">
        <v>0</v>
      </c>
      <c r="AM49" s="10">
        <v>126473</v>
      </c>
      <c r="AN49" s="10">
        <v>0</v>
      </c>
      <c r="AO49" s="10">
        <v>18794</v>
      </c>
      <c r="AP49" s="10">
        <v>0</v>
      </c>
      <c r="AQ49" s="10">
        <v>0</v>
      </c>
      <c r="AR49" s="10">
        <v>0</v>
      </c>
      <c r="AS49" s="10">
        <v>850</v>
      </c>
      <c r="AT49" s="10">
        <v>517</v>
      </c>
      <c r="AU49" s="10">
        <v>-80</v>
      </c>
      <c r="AV49" s="10">
        <v>-126</v>
      </c>
      <c r="AW49" s="10">
        <v>-129</v>
      </c>
      <c r="AX49" s="10">
        <v>0</v>
      </c>
      <c r="AY49" s="10">
        <f t="shared" si="8"/>
        <v>1032</v>
      </c>
      <c r="AZ49" s="1">
        <v>2</v>
      </c>
      <c r="BA49" s="1">
        <v>31</v>
      </c>
      <c r="BB49" s="1">
        <v>13</v>
      </c>
      <c r="BC49" s="1">
        <v>51</v>
      </c>
      <c r="BD49" s="1">
        <v>11</v>
      </c>
    </row>
    <row r="50" spans="1:56" x14ac:dyDescent="0.25">
      <c r="A50" s="1">
        <v>4</v>
      </c>
      <c r="B50" s="1" t="s">
        <v>637</v>
      </c>
      <c r="C50" s="7" t="s">
        <v>295</v>
      </c>
      <c r="D50" s="1" t="s">
        <v>88</v>
      </c>
      <c r="E50" s="1" t="s">
        <v>612</v>
      </c>
      <c r="F50" s="7" t="s">
        <v>630</v>
      </c>
      <c r="G50" s="7" t="s">
        <v>615</v>
      </c>
      <c r="H50" s="10">
        <v>2619757</v>
      </c>
      <c r="I50" s="10">
        <v>60715</v>
      </c>
      <c r="J50" s="10">
        <v>1783490</v>
      </c>
      <c r="K50" s="10">
        <v>138729</v>
      </c>
      <c r="L50" s="10">
        <v>128462</v>
      </c>
      <c r="M50" s="10">
        <v>38167</v>
      </c>
      <c r="N50" s="10">
        <v>0</v>
      </c>
      <c r="O50" s="10">
        <v>2293374</v>
      </c>
      <c r="P50" s="23">
        <v>0.32</v>
      </c>
      <c r="Q50" s="10">
        <v>0</v>
      </c>
      <c r="R50" s="27">
        <f>203914/2293374</f>
        <v>8.891441169211825E-2</v>
      </c>
      <c r="S50" s="10">
        <v>203913</v>
      </c>
      <c r="T50" s="10">
        <v>0</v>
      </c>
      <c r="U50" s="10">
        <f>15450+270</f>
        <v>15720</v>
      </c>
      <c r="V50" s="10">
        <v>44918</v>
      </c>
      <c r="W50" s="10">
        <v>3254</v>
      </c>
      <c r="X50" s="10">
        <v>4569</v>
      </c>
      <c r="Y50" s="10">
        <f>7680+3120</f>
        <v>10800</v>
      </c>
      <c r="Z50" s="10">
        <v>0</v>
      </c>
      <c r="AA50" s="10">
        <v>0</v>
      </c>
      <c r="AB50" s="10">
        <v>0</v>
      </c>
      <c r="AC50" s="10">
        <f>3153+3285+4786</f>
        <v>11224</v>
      </c>
      <c r="AD50" s="10">
        <v>2562</v>
      </c>
      <c r="AE50" s="10">
        <v>0</v>
      </c>
      <c r="AF50" s="10">
        <v>0</v>
      </c>
      <c r="AG50" s="10">
        <v>12248</v>
      </c>
      <c r="AH50" s="10">
        <v>90333</v>
      </c>
      <c r="AI50" s="10">
        <v>92572</v>
      </c>
      <c r="AJ50" s="23">
        <f t="shared" si="7"/>
        <v>0.13558721618898964</v>
      </c>
      <c r="AK50" s="10">
        <v>11121</v>
      </c>
      <c r="AL50" s="10">
        <v>0</v>
      </c>
      <c r="AM50" s="10">
        <v>126473</v>
      </c>
      <c r="AN50" s="10">
        <v>0</v>
      </c>
      <c r="AO50" s="10">
        <v>13948</v>
      </c>
      <c r="AP50" s="10">
        <v>0</v>
      </c>
      <c r="AQ50" s="10">
        <v>0</v>
      </c>
      <c r="AR50" s="10">
        <v>0</v>
      </c>
      <c r="AS50" s="10">
        <v>485</v>
      </c>
      <c r="AT50" s="10">
        <v>268</v>
      </c>
      <c r="AU50" s="10">
        <v>-60</v>
      </c>
      <c r="AV50" s="10">
        <v>-59</v>
      </c>
      <c r="AW50" s="10">
        <v>-58</v>
      </c>
      <c r="AX50" s="10">
        <v>0</v>
      </c>
      <c r="AY50" s="10">
        <f t="shared" si="8"/>
        <v>576</v>
      </c>
      <c r="AZ50" s="1">
        <v>6</v>
      </c>
      <c r="BA50" s="1">
        <v>9</v>
      </c>
      <c r="BB50" s="1">
        <v>5</v>
      </c>
      <c r="BC50" s="1">
        <v>19</v>
      </c>
      <c r="BD50" s="1">
        <v>25</v>
      </c>
    </row>
    <row r="51" spans="1:56" x14ac:dyDescent="0.25">
      <c r="A51" s="1">
        <v>5</v>
      </c>
      <c r="B51" s="1" t="s">
        <v>59</v>
      </c>
      <c r="C51" s="7" t="s">
        <v>336</v>
      </c>
      <c r="D51" s="1" t="s">
        <v>289</v>
      </c>
      <c r="E51" s="1" t="s">
        <v>398</v>
      </c>
      <c r="F51" s="7" t="s">
        <v>429</v>
      </c>
      <c r="G51" s="7" t="s">
        <v>389</v>
      </c>
      <c r="H51" s="10">
        <v>20404673</v>
      </c>
      <c r="I51" s="10">
        <v>602037</v>
      </c>
      <c r="J51" s="10">
        <v>8397060</v>
      </c>
      <c r="K51" s="10">
        <v>636937</v>
      </c>
      <c r="L51" s="10">
        <v>8122620</v>
      </c>
      <c r="M51" s="10">
        <v>968391</v>
      </c>
      <c r="N51" s="10">
        <v>0</v>
      </c>
      <c r="O51" s="10">
        <v>19034242</v>
      </c>
      <c r="P51" s="23">
        <v>0.12039999999999999</v>
      </c>
      <c r="Q51" s="10">
        <v>6389295</v>
      </c>
      <c r="R51" s="27">
        <f>913297/12644947</f>
        <v>7.2226241833991081E-2</v>
      </c>
      <c r="S51" s="10">
        <v>909031</v>
      </c>
      <c r="T51" s="10">
        <v>0</v>
      </c>
      <c r="U51" s="10">
        <f>87710+5013+1571</f>
        <v>94294</v>
      </c>
      <c r="V51" s="10">
        <v>340109</v>
      </c>
      <c r="W51" s="10">
        <v>28702</v>
      </c>
      <c r="X51" s="10">
        <v>63337</v>
      </c>
      <c r="Y51" s="10">
        <v>51015</v>
      </c>
      <c r="Z51" s="10">
        <v>21665</v>
      </c>
      <c r="AA51" s="10">
        <v>184079</v>
      </c>
      <c r="AB51" s="10">
        <v>3517</v>
      </c>
      <c r="AC51" s="10">
        <f>12243+66525+16478</f>
        <v>95246</v>
      </c>
      <c r="AD51" s="10">
        <v>5999</v>
      </c>
      <c r="AE51" s="10">
        <v>9028</v>
      </c>
      <c r="AF51" s="10">
        <v>6816</v>
      </c>
      <c r="AG51" s="10">
        <v>21444</v>
      </c>
      <c r="AH51" s="10">
        <v>856108</v>
      </c>
      <c r="AI51" s="10">
        <v>864792</v>
      </c>
      <c r="AJ51" s="23">
        <f t="shared" si="7"/>
        <v>2.5048241576997296E-2</v>
      </c>
      <c r="AK51" s="10">
        <v>85319</v>
      </c>
      <c r="AL51" s="10">
        <v>0</v>
      </c>
      <c r="AM51" s="10">
        <v>126473</v>
      </c>
      <c r="AN51" s="10">
        <v>0</v>
      </c>
      <c r="AO51" s="10">
        <v>106063</v>
      </c>
      <c r="AP51" s="10">
        <v>0</v>
      </c>
      <c r="AQ51" s="10">
        <v>0</v>
      </c>
      <c r="AR51" s="10">
        <v>0</v>
      </c>
      <c r="AS51" s="10">
        <v>3875</v>
      </c>
      <c r="AT51" s="10">
        <v>2780</v>
      </c>
      <c r="AU51" s="10">
        <v>-306</v>
      </c>
      <c r="AV51" s="10">
        <v>-852</v>
      </c>
      <c r="AW51" s="10">
        <v>-685</v>
      </c>
      <c r="AX51" s="10">
        <v>-3</v>
      </c>
      <c r="AY51" s="10">
        <f t="shared" si="8"/>
        <v>4809</v>
      </c>
      <c r="AZ51" s="1">
        <v>24</v>
      </c>
      <c r="BA51" s="1" t="s">
        <v>404</v>
      </c>
      <c r="BB51" s="1" t="s">
        <v>404</v>
      </c>
      <c r="BC51" s="1" t="s">
        <v>404</v>
      </c>
      <c r="BD51" s="1" t="s">
        <v>404</v>
      </c>
    </row>
    <row r="52" spans="1:56" x14ac:dyDescent="0.25">
      <c r="A52" s="1">
        <v>5</v>
      </c>
      <c r="B52" s="1" t="s">
        <v>60</v>
      </c>
      <c r="C52" s="7" t="s">
        <v>249</v>
      </c>
      <c r="D52" s="1" t="s">
        <v>289</v>
      </c>
      <c r="E52" s="1" t="s">
        <v>398</v>
      </c>
      <c r="F52" s="7" t="s">
        <v>558</v>
      </c>
      <c r="G52" s="7" t="s">
        <v>389</v>
      </c>
      <c r="H52" s="10">
        <v>25717081</v>
      </c>
      <c r="I52" s="10">
        <v>800617</v>
      </c>
      <c r="J52" s="10">
        <v>9522562</v>
      </c>
      <c r="K52" s="10">
        <v>979261</v>
      </c>
      <c r="L52" s="10">
        <v>10752230</v>
      </c>
      <c r="M52" s="10">
        <v>1774995</v>
      </c>
      <c r="N52" s="10">
        <v>0</v>
      </c>
      <c r="O52" s="10">
        <v>24042104</v>
      </c>
      <c r="P52" s="23">
        <v>0.10539999999999999</v>
      </c>
      <c r="Q52" s="10">
        <v>7523423</v>
      </c>
      <c r="R52" s="27">
        <f>1018323/16518681</f>
        <v>6.1646750124904039E-2</v>
      </c>
      <c r="S52" s="10">
        <v>1013056</v>
      </c>
      <c r="T52" s="10">
        <v>0</v>
      </c>
      <c r="U52" s="10">
        <f>100488+7110+1685</f>
        <v>109283</v>
      </c>
      <c r="V52" s="10">
        <v>371780</v>
      </c>
      <c r="W52" s="10">
        <v>31241</v>
      </c>
      <c r="X52" s="10">
        <v>69717</v>
      </c>
      <c r="Y52" s="10">
        <v>57374</v>
      </c>
      <c r="Z52" s="10">
        <v>21665</v>
      </c>
      <c r="AA52" s="10">
        <v>214564</v>
      </c>
      <c r="AB52" s="10">
        <v>0</v>
      </c>
      <c r="AC52" s="10">
        <f>9765+70205+18656</f>
        <v>98626</v>
      </c>
      <c r="AD52" s="10">
        <v>7146</v>
      </c>
      <c r="AE52" s="10">
        <v>10131</v>
      </c>
      <c r="AF52" s="10">
        <v>7779</v>
      </c>
      <c r="AG52" s="10">
        <v>24006</v>
      </c>
      <c r="AH52" s="10">
        <v>934120</v>
      </c>
      <c r="AI52" s="10">
        <v>938966</v>
      </c>
      <c r="AJ52" s="23">
        <f t="shared" si="7"/>
        <v>2.5699053654776687E-2</v>
      </c>
      <c r="AK52" s="10">
        <v>75274</v>
      </c>
      <c r="AL52" s="10">
        <v>596</v>
      </c>
      <c r="AM52" s="10">
        <v>126473</v>
      </c>
      <c r="AN52" s="10">
        <v>0</v>
      </c>
      <c r="AO52" s="10">
        <v>136424</v>
      </c>
      <c r="AP52" s="10">
        <v>0</v>
      </c>
      <c r="AQ52" s="10">
        <v>0</v>
      </c>
      <c r="AR52" s="10">
        <v>0</v>
      </c>
      <c r="AS52" s="10">
        <v>4344</v>
      </c>
      <c r="AT52" s="10">
        <v>3759</v>
      </c>
      <c r="AU52" s="10">
        <v>-443</v>
      </c>
      <c r="AV52" s="10">
        <v>-1506</v>
      </c>
      <c r="AW52" s="10">
        <v>-666</v>
      </c>
      <c r="AX52" s="10">
        <v>-2</v>
      </c>
      <c r="AY52" s="10">
        <f t="shared" si="8"/>
        <v>5486</v>
      </c>
      <c r="AZ52" s="1">
        <v>32</v>
      </c>
      <c r="BA52" s="1" t="s">
        <v>404</v>
      </c>
      <c r="BB52" s="1" t="s">
        <v>404</v>
      </c>
      <c r="BC52" s="1" t="s">
        <v>404</v>
      </c>
      <c r="BD52" s="1" t="s">
        <v>404</v>
      </c>
    </row>
    <row r="53" spans="1:56" x14ac:dyDescent="0.25">
      <c r="A53" s="1">
        <v>5</v>
      </c>
      <c r="B53" s="1" t="s">
        <v>65</v>
      </c>
      <c r="C53" s="7" t="s">
        <v>568</v>
      </c>
      <c r="D53" s="1" t="s">
        <v>419</v>
      </c>
      <c r="E53" s="1" t="s">
        <v>318</v>
      </c>
      <c r="F53" s="7" t="s">
        <v>188</v>
      </c>
      <c r="G53" s="7" t="s">
        <v>343</v>
      </c>
      <c r="H53" s="10">
        <v>13024334</v>
      </c>
      <c r="I53" s="10">
        <v>243462</v>
      </c>
      <c r="J53" s="10">
        <v>4825827</v>
      </c>
      <c r="K53" s="10">
        <v>970622</v>
      </c>
      <c r="L53" s="10">
        <v>4757541</v>
      </c>
      <c r="M53" s="10">
        <v>1182438</v>
      </c>
      <c r="N53" s="10">
        <v>0</v>
      </c>
      <c r="O53" s="10">
        <v>12386726</v>
      </c>
      <c r="P53" s="23">
        <v>0.1351</v>
      </c>
      <c r="Q53" s="10">
        <v>0</v>
      </c>
      <c r="R53" s="27">
        <f>650303/12386726</f>
        <v>5.2499990715867938E-2</v>
      </c>
      <c r="S53" s="10">
        <v>650298</v>
      </c>
      <c r="T53" s="10">
        <v>0</v>
      </c>
      <c r="U53" s="10">
        <f>51309+2271</f>
        <v>53580</v>
      </c>
      <c r="V53" s="10">
        <v>286150</v>
      </c>
      <c r="W53" s="10">
        <v>22532</v>
      </c>
      <c r="X53" s="10">
        <v>70374</v>
      </c>
      <c r="Y53" s="10">
        <v>35980</v>
      </c>
      <c r="Z53" s="10">
        <v>1736</v>
      </c>
      <c r="AA53" s="10">
        <v>16280</v>
      </c>
      <c r="AB53" s="10">
        <v>1209</v>
      </c>
      <c r="AC53" s="10">
        <f>8211+34525+18722</f>
        <v>61458</v>
      </c>
      <c r="AD53" s="10">
        <v>6561</v>
      </c>
      <c r="AE53" s="10">
        <v>0</v>
      </c>
      <c r="AF53" s="10">
        <v>48789</v>
      </c>
      <c r="AG53" s="10">
        <v>28796</v>
      </c>
      <c r="AH53" s="10">
        <v>593070</v>
      </c>
      <c r="AI53" s="10">
        <v>629706</v>
      </c>
      <c r="AJ53" s="23">
        <f t="shared" si="7"/>
        <v>4.8554133576137727E-2</v>
      </c>
      <c r="AK53" s="10">
        <v>80732</v>
      </c>
      <c r="AL53" s="10">
        <v>0</v>
      </c>
      <c r="AM53" s="10">
        <v>126473</v>
      </c>
      <c r="AN53" s="10">
        <v>0</v>
      </c>
      <c r="AO53" s="10">
        <v>66736</v>
      </c>
      <c r="AP53" s="10">
        <v>0</v>
      </c>
      <c r="AQ53" s="10">
        <v>0</v>
      </c>
      <c r="AR53" s="10">
        <v>0</v>
      </c>
      <c r="AS53" s="10">
        <v>3475</v>
      </c>
      <c r="AT53" s="10">
        <v>2559</v>
      </c>
      <c r="AU53" s="10">
        <v>-268</v>
      </c>
      <c r="AV53" s="10">
        <v>-1320</v>
      </c>
      <c r="AW53" s="10">
        <v>-475</v>
      </c>
      <c r="AX53" s="10">
        <v>21</v>
      </c>
      <c r="AY53" s="10">
        <f t="shared" si="8"/>
        <v>3992</v>
      </c>
      <c r="AZ53" s="1">
        <v>1</v>
      </c>
      <c r="BA53" s="1">
        <v>388</v>
      </c>
      <c r="BB53" s="1">
        <v>21</v>
      </c>
      <c r="BC53" s="1">
        <v>66</v>
      </c>
      <c r="BD53" s="1">
        <v>0</v>
      </c>
    </row>
    <row r="54" spans="1:56" x14ac:dyDescent="0.25">
      <c r="A54" s="1">
        <v>5</v>
      </c>
      <c r="B54" s="1" t="s">
        <v>68</v>
      </c>
      <c r="C54" s="7" t="s">
        <v>286</v>
      </c>
      <c r="D54" s="1" t="s">
        <v>253</v>
      </c>
      <c r="E54" s="1" t="s">
        <v>398</v>
      </c>
      <c r="F54" s="7" t="s">
        <v>557</v>
      </c>
      <c r="G54" s="7" t="s">
        <v>389</v>
      </c>
      <c r="H54" s="10">
        <v>8305917</v>
      </c>
      <c r="I54" s="10">
        <v>115399</v>
      </c>
      <c r="J54" s="10">
        <v>5558497</v>
      </c>
      <c r="K54" s="10">
        <v>293023</v>
      </c>
      <c r="L54" s="10">
        <v>962955</v>
      </c>
      <c r="M54" s="10">
        <v>623068</v>
      </c>
      <c r="N54" s="10">
        <v>0</v>
      </c>
      <c r="O54" s="10">
        <v>7925161</v>
      </c>
      <c r="P54" s="23">
        <v>0.08</v>
      </c>
      <c r="Q54" s="10">
        <v>0</v>
      </c>
      <c r="R54" s="27">
        <f>487679/7924661</f>
        <v>6.1539414745943079E-2</v>
      </c>
      <c r="S54" s="10">
        <v>487618</v>
      </c>
      <c r="T54" s="10">
        <v>0</v>
      </c>
      <c r="U54" s="10">
        <f>11127+817+1852</f>
        <v>13796</v>
      </c>
      <c r="V54" s="10">
        <v>165083</v>
      </c>
      <c r="W54" s="10">
        <v>12630</v>
      </c>
      <c r="X54" s="10">
        <v>28481</v>
      </c>
      <c r="Y54" s="10">
        <v>34224</v>
      </c>
      <c r="Z54" s="10">
        <v>4320</v>
      </c>
      <c r="AA54" s="10">
        <v>10158</v>
      </c>
      <c r="AB54" s="10">
        <v>3791</v>
      </c>
      <c r="AC54" s="10">
        <f>21803+25218+14779</f>
        <v>61800</v>
      </c>
      <c r="AD54" s="10">
        <v>5068</v>
      </c>
      <c r="AE54" s="10">
        <v>0</v>
      </c>
      <c r="AF54" s="10">
        <v>491</v>
      </c>
      <c r="AG54" s="10">
        <v>206194</v>
      </c>
      <c r="AH54" s="10">
        <v>374056</v>
      </c>
      <c r="AI54" s="10">
        <v>386580</v>
      </c>
      <c r="AJ54" s="23">
        <f t="shared" si="7"/>
        <v>0.5512383172573091</v>
      </c>
      <c r="AK54" s="10">
        <v>52966</v>
      </c>
      <c r="AL54" s="10">
        <v>0</v>
      </c>
      <c r="AM54" s="10">
        <v>126473</v>
      </c>
      <c r="AN54" s="10">
        <v>0</v>
      </c>
      <c r="AO54" s="10">
        <v>53851</v>
      </c>
      <c r="AP54" s="10">
        <v>0</v>
      </c>
      <c r="AQ54" s="10">
        <v>0</v>
      </c>
      <c r="AR54" s="10">
        <v>0</v>
      </c>
      <c r="AS54" s="10">
        <v>2002</v>
      </c>
      <c r="AT54" s="10">
        <v>1312</v>
      </c>
      <c r="AU54" s="10">
        <v>-108</v>
      </c>
      <c r="AV54" s="10">
        <v>-472</v>
      </c>
      <c r="AW54" s="10">
        <v>-307</v>
      </c>
      <c r="AX54" s="10">
        <v>3</v>
      </c>
      <c r="AY54" s="10">
        <f t="shared" si="8"/>
        <v>2430</v>
      </c>
      <c r="AZ54" s="1">
        <v>3</v>
      </c>
      <c r="BA54" s="1" t="s">
        <v>405</v>
      </c>
      <c r="BB54" s="1" t="s">
        <v>405</v>
      </c>
      <c r="BC54" s="1" t="s">
        <v>405</v>
      </c>
      <c r="BD54" s="1" t="s">
        <v>405</v>
      </c>
    </row>
    <row r="55" spans="1:56" x14ac:dyDescent="0.25">
      <c r="A55" s="1">
        <v>5</v>
      </c>
      <c r="B55" s="1" t="s">
        <v>146</v>
      </c>
      <c r="C55" s="7" t="s">
        <v>41</v>
      </c>
      <c r="D55" s="7" t="s">
        <v>63</v>
      </c>
      <c r="E55" s="7" t="s">
        <v>318</v>
      </c>
      <c r="F55" s="7" t="s">
        <v>382</v>
      </c>
      <c r="G55" s="7" t="s">
        <v>343</v>
      </c>
      <c r="H55" s="10">
        <v>7936859</v>
      </c>
      <c r="I55" s="10">
        <v>511424</v>
      </c>
      <c r="J55" s="10">
        <v>3499114</v>
      </c>
      <c r="K55" s="10">
        <v>592620</v>
      </c>
      <c r="L55" s="10">
        <v>1996659</v>
      </c>
      <c r="M55" s="10">
        <v>801291</v>
      </c>
      <c r="N55" s="10">
        <f>51295+487</f>
        <v>51782</v>
      </c>
      <c r="O55" s="10">
        <v>7365244</v>
      </c>
      <c r="P55" s="23">
        <v>0.05</v>
      </c>
      <c r="Q55" s="10">
        <v>184591</v>
      </c>
      <c r="R55" s="27">
        <f>417482/7100213</f>
        <v>5.8798517734608806E-2</v>
      </c>
      <c r="S55" s="10">
        <v>416920</v>
      </c>
      <c r="T55" s="10">
        <v>0</v>
      </c>
      <c r="U55" s="10">
        <f>35487+255</f>
        <v>35742</v>
      </c>
      <c r="V55" s="10">
        <v>172534</v>
      </c>
      <c r="W55" s="10">
        <v>14544</v>
      </c>
      <c r="X55" s="10">
        <v>17940</v>
      </c>
      <c r="Y55" s="10">
        <f>24592+4028</f>
        <v>28620</v>
      </c>
      <c r="Z55" s="10">
        <v>3350</v>
      </c>
      <c r="AA55" s="10">
        <v>10500</v>
      </c>
      <c r="AB55" s="10">
        <v>769</v>
      </c>
      <c r="AC55" s="10">
        <f>15012+29023+21025</f>
        <v>65060</v>
      </c>
      <c r="AD55" s="10">
        <v>4561</v>
      </c>
      <c r="AE55" s="10">
        <v>2415</v>
      </c>
      <c r="AF55" s="10">
        <v>17569</v>
      </c>
      <c r="AG55" s="10">
        <v>50160</v>
      </c>
      <c r="AH55" s="10">
        <v>374414</v>
      </c>
      <c r="AI55" s="10">
        <v>370608</v>
      </c>
      <c r="AJ55" s="23">
        <f t="shared" si="7"/>
        <v>0.13396934943671979</v>
      </c>
      <c r="AK55" s="10">
        <v>38104</v>
      </c>
      <c r="AL55" s="10">
        <v>0</v>
      </c>
      <c r="AM55" s="10">
        <v>126473</v>
      </c>
      <c r="AN55" s="10">
        <v>0</v>
      </c>
      <c r="AO55" s="10">
        <v>44530</v>
      </c>
      <c r="AP55" s="10">
        <v>0</v>
      </c>
      <c r="AQ55" s="10">
        <v>0</v>
      </c>
      <c r="AR55" s="10">
        <v>0</v>
      </c>
      <c r="AS55" s="10">
        <v>1395</v>
      </c>
      <c r="AT55" s="10">
        <v>997</v>
      </c>
      <c r="AU55" s="10">
        <v>-318</v>
      </c>
      <c r="AV55" s="10">
        <v>-230</v>
      </c>
      <c r="AW55" s="10">
        <v>-221</v>
      </c>
      <c r="AX55" s="10">
        <f>1+15</f>
        <v>16</v>
      </c>
      <c r="AY55" s="10">
        <f t="shared" si="8"/>
        <v>1639</v>
      </c>
      <c r="AZ55" s="1">
        <v>0</v>
      </c>
      <c r="BA55" s="1">
        <v>72</v>
      </c>
      <c r="BB55" s="1">
        <v>28</v>
      </c>
      <c r="BC55" s="1">
        <v>94</v>
      </c>
      <c r="BD55" s="1">
        <v>0</v>
      </c>
    </row>
    <row r="56" spans="1:56" x14ac:dyDescent="0.25">
      <c r="A56" s="1">
        <v>5</v>
      </c>
      <c r="B56" s="1" t="s">
        <v>156</v>
      </c>
      <c r="C56" s="7" t="s">
        <v>457</v>
      </c>
      <c r="D56" s="1" t="s">
        <v>547</v>
      </c>
      <c r="E56" s="1" t="s">
        <v>318</v>
      </c>
      <c r="F56" s="7" t="s">
        <v>630</v>
      </c>
      <c r="G56" s="7" t="s">
        <v>343</v>
      </c>
      <c r="H56" s="10">
        <v>40554102</v>
      </c>
      <c r="I56" s="10">
        <v>1187199</v>
      </c>
      <c r="J56" s="10">
        <v>23761147</v>
      </c>
      <c r="K56" s="10">
        <v>2703549</v>
      </c>
      <c r="L56" s="10">
        <v>5522940</v>
      </c>
      <c r="M56" s="10">
        <v>5545554</v>
      </c>
      <c r="N56" s="10">
        <v>10333</v>
      </c>
      <c r="O56" s="10">
        <v>38994954</v>
      </c>
      <c r="P56" s="23">
        <v>3.6999999999999998E-2</v>
      </c>
      <c r="Q56" s="10">
        <v>0</v>
      </c>
      <c r="R56" s="27">
        <f>1451783/38984621</f>
        <v>3.7239890058184739E-2</v>
      </c>
      <c r="S56" s="10">
        <v>1451431</v>
      </c>
      <c r="T56" s="10">
        <v>0</v>
      </c>
      <c r="U56" s="10">
        <f>97199+4478</f>
        <v>101677</v>
      </c>
      <c r="V56" s="10">
        <v>723934</v>
      </c>
      <c r="W56" s="10">
        <v>57309</v>
      </c>
      <c r="X56" s="10">
        <v>145789</v>
      </c>
      <c r="Y56" s="10">
        <v>81152</v>
      </c>
      <c r="Z56" s="10">
        <v>0</v>
      </c>
      <c r="AA56" s="10">
        <v>15981</v>
      </c>
      <c r="AB56" s="10">
        <v>3315</v>
      </c>
      <c r="AC56" s="10">
        <f>13107+118408+62085</f>
        <v>193600</v>
      </c>
      <c r="AD56" s="10">
        <v>9072</v>
      </c>
      <c r="AE56" s="10">
        <v>0</v>
      </c>
      <c r="AF56" s="10">
        <v>19057</v>
      </c>
      <c r="AG56" s="10">
        <v>69972</v>
      </c>
      <c r="AH56" s="10">
        <v>1386790</v>
      </c>
      <c r="AI56" s="10">
        <v>1397960</v>
      </c>
      <c r="AJ56" s="23">
        <f t="shared" si="7"/>
        <v>5.0456089242062602E-2</v>
      </c>
      <c r="AK56" s="10">
        <v>180311</v>
      </c>
      <c r="AL56" s="10">
        <v>0</v>
      </c>
      <c r="AM56" s="10">
        <v>126473</v>
      </c>
      <c r="AN56" s="10">
        <v>0</v>
      </c>
      <c r="AO56" s="10">
        <v>230489</v>
      </c>
      <c r="AP56" s="10">
        <v>0</v>
      </c>
      <c r="AQ56" s="10">
        <v>0</v>
      </c>
      <c r="AR56" s="10">
        <v>0</v>
      </c>
      <c r="AS56" s="10">
        <v>8766</v>
      </c>
      <c r="AT56" s="10">
        <v>5606</v>
      </c>
      <c r="AU56" s="10">
        <v>-633</v>
      </c>
      <c r="AV56" s="10">
        <v>-1607</v>
      </c>
      <c r="AW56" s="10">
        <v>-1066</v>
      </c>
      <c r="AX56" s="10">
        <v>29</v>
      </c>
      <c r="AY56" s="10">
        <f t="shared" si="8"/>
        <v>11095</v>
      </c>
      <c r="AZ56" s="1">
        <v>13</v>
      </c>
      <c r="BA56" s="1">
        <v>464</v>
      </c>
      <c r="BB56" s="1">
        <v>133</v>
      </c>
      <c r="BC56" s="1">
        <v>392</v>
      </c>
      <c r="BD56" s="1">
        <v>11</v>
      </c>
    </row>
    <row r="57" spans="1:56" x14ac:dyDescent="0.25">
      <c r="A57" s="1">
        <v>5</v>
      </c>
      <c r="B57" s="1" t="s">
        <v>512</v>
      </c>
      <c r="C57" s="7" t="s">
        <v>305</v>
      </c>
      <c r="D57" s="1" t="s">
        <v>321</v>
      </c>
      <c r="E57" s="1" t="s">
        <v>318</v>
      </c>
      <c r="F57" s="7" t="s">
        <v>630</v>
      </c>
      <c r="G57" s="7" t="s">
        <v>343</v>
      </c>
      <c r="H57" s="10">
        <v>10414094</v>
      </c>
      <c r="I57" s="10">
        <v>165016</v>
      </c>
      <c r="J57" s="10">
        <v>6140756</v>
      </c>
      <c r="K57" s="10">
        <v>479188</v>
      </c>
      <c r="L57" s="10">
        <v>1774965</v>
      </c>
      <c r="M57" s="10">
        <v>1043634</v>
      </c>
      <c r="N57" s="10">
        <v>0</v>
      </c>
      <c r="O57" s="10">
        <v>10004922</v>
      </c>
      <c r="P57" s="23">
        <v>0.08</v>
      </c>
      <c r="Q57" s="10">
        <v>123968</v>
      </c>
      <c r="R57" s="27">
        <f>566183/9880954</f>
        <v>5.7300438803783521E-2</v>
      </c>
      <c r="S57" s="10">
        <v>566379</v>
      </c>
      <c r="T57" s="10">
        <v>0</v>
      </c>
      <c r="U57" s="10">
        <f>38398+1830</f>
        <v>40228</v>
      </c>
      <c r="V57" s="10">
        <v>175285</v>
      </c>
      <c r="W57" s="10">
        <v>14669</v>
      </c>
      <c r="X57" s="10">
        <v>27358</v>
      </c>
      <c r="Y57" s="10">
        <v>19720</v>
      </c>
      <c r="Z57" s="10">
        <v>6575</v>
      </c>
      <c r="AA57" s="10">
        <v>101518</v>
      </c>
      <c r="AB57" s="10">
        <v>6339</v>
      </c>
      <c r="AC57" s="10">
        <f>7329+27471+12688</f>
        <v>47488</v>
      </c>
      <c r="AD57" s="10">
        <v>7350</v>
      </c>
      <c r="AE57" s="10">
        <v>2104</v>
      </c>
      <c r="AF57" s="10">
        <v>18475</v>
      </c>
      <c r="AG57" s="10">
        <v>40678</v>
      </c>
      <c r="AH57" s="10">
        <v>455459</v>
      </c>
      <c r="AI57" s="10">
        <v>465166</v>
      </c>
      <c r="AJ57" s="23">
        <f t="shared" si="7"/>
        <v>8.9312100540334033E-2</v>
      </c>
      <c r="AK57" s="10">
        <v>44298</v>
      </c>
      <c r="AL57" s="10">
        <v>0</v>
      </c>
      <c r="AM57" s="10">
        <v>126473</v>
      </c>
      <c r="AN57" s="10">
        <v>0</v>
      </c>
      <c r="AO57" s="10">
        <v>68973</v>
      </c>
      <c r="AP57" s="10">
        <v>0</v>
      </c>
      <c r="AQ57" s="10">
        <v>0</v>
      </c>
      <c r="AR57" s="10">
        <v>0</v>
      </c>
      <c r="AS57" s="10">
        <v>2258</v>
      </c>
      <c r="AT57" s="10">
        <v>1657</v>
      </c>
      <c r="AU57" s="10">
        <v>-148</v>
      </c>
      <c r="AV57" s="10">
        <v>-617</v>
      </c>
      <c r="AW57" s="10">
        <v>-305</v>
      </c>
      <c r="AX57" s="10">
        <v>-8</v>
      </c>
      <c r="AY57" s="10">
        <f t="shared" si="8"/>
        <v>2837</v>
      </c>
      <c r="AZ57" s="1">
        <v>7</v>
      </c>
      <c r="BA57" s="1">
        <v>57</v>
      </c>
      <c r="BB57" s="1">
        <v>40</v>
      </c>
      <c r="BC57" s="1">
        <v>334</v>
      </c>
      <c r="BD57" s="1">
        <v>29</v>
      </c>
    </row>
    <row r="58" spans="1:56" x14ac:dyDescent="0.25">
      <c r="A58" s="1">
        <v>5</v>
      </c>
      <c r="B58" s="1" t="s">
        <v>549</v>
      </c>
      <c r="C58" s="7" t="s">
        <v>182</v>
      </c>
      <c r="D58" s="1" t="s">
        <v>244</v>
      </c>
      <c r="E58" s="1" t="s">
        <v>398</v>
      </c>
      <c r="F58" s="7" t="s">
        <v>557</v>
      </c>
      <c r="G58" s="7" t="s">
        <v>389</v>
      </c>
      <c r="H58" s="10">
        <v>5576189</v>
      </c>
      <c r="I58" s="10">
        <v>129404</v>
      </c>
      <c r="J58" s="10">
        <v>3314166</v>
      </c>
      <c r="K58" s="10">
        <v>333206</v>
      </c>
      <c r="L58" s="10">
        <v>653162</v>
      </c>
      <c r="M58" s="10">
        <v>462447</v>
      </c>
      <c r="N58" s="10">
        <v>0</v>
      </c>
      <c r="O58" s="10">
        <v>5208267</v>
      </c>
      <c r="P58" s="23">
        <v>0.11</v>
      </c>
      <c r="Q58" s="10">
        <v>44160</v>
      </c>
      <c r="R58" s="27">
        <f>446154/5184194</f>
        <v>8.6060436781493901E-2</v>
      </c>
      <c r="S58" s="10">
        <v>445286</v>
      </c>
      <c r="T58" s="10">
        <v>0</v>
      </c>
      <c r="U58" s="10">
        <f>10024+1258</f>
        <v>11282</v>
      </c>
      <c r="V58" s="10">
        <v>124298</v>
      </c>
      <c r="W58" s="10">
        <v>10875</v>
      </c>
      <c r="X58" s="10">
        <v>12689</v>
      </c>
      <c r="Y58" s="10">
        <f>15600+2733</f>
        <v>18333</v>
      </c>
      <c r="Z58" s="10">
        <v>8400</v>
      </c>
      <c r="AA58" s="10">
        <v>79800</v>
      </c>
      <c r="AB58" s="10">
        <v>440</v>
      </c>
      <c r="AC58" s="10">
        <f>6133+14012+7300</f>
        <v>27445</v>
      </c>
      <c r="AD58" s="10">
        <v>2642</v>
      </c>
      <c r="AE58" s="10">
        <v>0</v>
      </c>
      <c r="AF58" s="10">
        <v>12331</v>
      </c>
      <c r="AG58" s="10">
        <v>15600</v>
      </c>
      <c r="AH58" s="10">
        <v>317342</v>
      </c>
      <c r="AI58" s="10">
        <v>321123</v>
      </c>
      <c r="AJ58" s="23">
        <f t="shared" si="7"/>
        <v>4.915832130635088E-2</v>
      </c>
      <c r="AK58" s="10">
        <v>38659</v>
      </c>
      <c r="AL58" s="10">
        <v>424</v>
      </c>
      <c r="AM58" s="10">
        <v>126473</v>
      </c>
      <c r="AN58" s="10">
        <v>0</v>
      </c>
      <c r="AO58" s="10">
        <v>51412</v>
      </c>
      <c r="AP58" s="10">
        <v>0</v>
      </c>
      <c r="AQ58" s="10">
        <v>0</v>
      </c>
      <c r="AR58" s="10">
        <v>0</v>
      </c>
      <c r="AS58" s="10">
        <v>1418</v>
      </c>
      <c r="AT58" s="10">
        <v>883</v>
      </c>
      <c r="AU58" s="10">
        <v>-128</v>
      </c>
      <c r="AV58" s="10">
        <v>-257</v>
      </c>
      <c r="AW58" s="10">
        <v>-276</v>
      </c>
      <c r="AX58" s="10">
        <v>0</v>
      </c>
      <c r="AY58" s="10">
        <f t="shared" si="8"/>
        <v>1640</v>
      </c>
      <c r="AZ58" s="1">
        <v>16</v>
      </c>
      <c r="BA58" s="1" t="s">
        <v>405</v>
      </c>
      <c r="BB58" s="1" t="s">
        <v>405</v>
      </c>
      <c r="BC58" s="1" t="s">
        <v>405</v>
      </c>
      <c r="BD58" s="1" t="s">
        <v>405</v>
      </c>
    </row>
    <row r="59" spans="1:56" x14ac:dyDescent="0.25">
      <c r="A59" s="1">
        <v>6</v>
      </c>
      <c r="B59" s="1" t="s">
        <v>242</v>
      </c>
      <c r="C59" s="7" t="s">
        <v>247</v>
      </c>
      <c r="D59" s="1" t="s">
        <v>607</v>
      </c>
      <c r="E59" s="1" t="s">
        <v>606</v>
      </c>
      <c r="F59" s="7" t="s">
        <v>188</v>
      </c>
      <c r="G59" s="7" t="s">
        <v>587</v>
      </c>
      <c r="H59" s="10">
        <v>39860208</v>
      </c>
      <c r="I59" s="10">
        <v>1869349</v>
      </c>
      <c r="J59" s="10">
        <v>20327100</v>
      </c>
      <c r="K59" s="10">
        <v>5005396</v>
      </c>
      <c r="L59" s="10">
        <v>4353100</v>
      </c>
      <c r="M59" s="10">
        <v>6523823</v>
      </c>
      <c r="N59" s="10">
        <v>62401</v>
      </c>
      <c r="O59" s="10">
        <v>38216895</v>
      </c>
      <c r="P59" s="23">
        <v>0.16589999999999999</v>
      </c>
      <c r="Q59" s="10">
        <v>0</v>
      </c>
      <c r="R59" s="27">
        <f>1954092/38154494</f>
        <v>5.121525134103469E-2</v>
      </c>
      <c r="S59" s="10">
        <v>1944375</v>
      </c>
      <c r="T59" s="10">
        <v>0</v>
      </c>
      <c r="U59" s="10">
        <f>244102+2308+21335</f>
        <v>267745</v>
      </c>
      <c r="V59" s="10">
        <v>567955</v>
      </c>
      <c r="W59" s="10">
        <v>44808</v>
      </c>
      <c r="X59" s="10">
        <v>97363</v>
      </c>
      <c r="Y59" s="10">
        <v>128635</v>
      </c>
      <c r="Z59" s="10">
        <v>31592</v>
      </c>
      <c r="AA59" s="10">
        <v>223328</v>
      </c>
      <c r="AB59" s="10">
        <v>171599</v>
      </c>
      <c r="AC59" s="10">
        <f>27991+115032+173324</f>
        <v>316347</v>
      </c>
      <c r="AD59" s="10">
        <v>11514</v>
      </c>
      <c r="AE59" s="10">
        <v>120063</v>
      </c>
      <c r="AF59" s="10">
        <v>166983</v>
      </c>
      <c r="AG59" s="10">
        <v>29926</v>
      </c>
      <c r="AH59" s="10">
        <v>2089043</v>
      </c>
      <c r="AI59" s="10">
        <v>2099599</v>
      </c>
      <c r="AJ59" s="23">
        <f t="shared" si="7"/>
        <v>1.4325219729799723E-2</v>
      </c>
      <c r="AK59" s="10">
        <v>263831</v>
      </c>
      <c r="AL59" s="10">
        <v>11211</v>
      </c>
      <c r="AM59" s="10">
        <v>126476</v>
      </c>
      <c r="AN59" s="10">
        <v>3</v>
      </c>
      <c r="AO59" s="10">
        <v>334444</v>
      </c>
      <c r="AP59" s="10">
        <v>0</v>
      </c>
      <c r="AQ59" s="10">
        <v>0</v>
      </c>
      <c r="AR59" s="10">
        <v>0</v>
      </c>
      <c r="AS59" s="10">
        <v>8370</v>
      </c>
      <c r="AT59" s="10">
        <v>7397</v>
      </c>
      <c r="AU59" s="10">
        <v>-429</v>
      </c>
      <c r="AV59" s="10">
        <v>-2109</v>
      </c>
      <c r="AW59" s="10">
        <v>-2339</v>
      </c>
      <c r="AX59" s="10">
        <v>-124</v>
      </c>
      <c r="AY59" s="10">
        <f t="shared" si="8"/>
        <v>10766</v>
      </c>
      <c r="AZ59" s="1">
        <v>28</v>
      </c>
      <c r="BA59" s="1" t="s">
        <v>405</v>
      </c>
      <c r="BB59" s="1" t="s">
        <v>405</v>
      </c>
      <c r="BC59" s="1" t="s">
        <v>405</v>
      </c>
      <c r="BD59" s="1" t="s">
        <v>405</v>
      </c>
    </row>
    <row r="60" spans="1:56" x14ac:dyDescent="0.25">
      <c r="A60" s="1">
        <v>6</v>
      </c>
      <c r="B60" s="1" t="s">
        <v>436</v>
      </c>
      <c r="C60" s="7" t="s">
        <v>619</v>
      </c>
      <c r="D60" s="1" t="s">
        <v>346</v>
      </c>
      <c r="E60" s="1" t="s">
        <v>606</v>
      </c>
      <c r="F60" s="7" t="s">
        <v>429</v>
      </c>
      <c r="G60" s="7" t="s">
        <v>587</v>
      </c>
      <c r="H60" s="10">
        <v>13653296</v>
      </c>
      <c r="I60" s="10">
        <v>285922</v>
      </c>
      <c r="J60" s="10">
        <v>6685362</v>
      </c>
      <c r="K60" s="10">
        <v>895009</v>
      </c>
      <c r="L60" s="10">
        <v>2017507</v>
      </c>
      <c r="M60" s="10">
        <v>2010838</v>
      </c>
      <c r="N60" s="10">
        <v>0</v>
      </c>
      <c r="O60" s="10">
        <v>12811929</v>
      </c>
      <c r="P60" s="23">
        <v>0.1045</v>
      </c>
      <c r="Q60" s="10">
        <v>8265</v>
      </c>
      <c r="R60" s="27">
        <f>1057615/12660025</f>
        <v>8.3539724447621547E-2</v>
      </c>
      <c r="S60" s="10">
        <v>1057648</v>
      </c>
      <c r="T60" s="10">
        <v>0</v>
      </c>
      <c r="U60" s="10">
        <f>34614+2402+2195</f>
        <v>39211</v>
      </c>
      <c r="V60" s="10">
        <v>442151</v>
      </c>
      <c r="W60" s="10">
        <v>37054</v>
      </c>
      <c r="X60" s="10">
        <v>64517</v>
      </c>
      <c r="Y60" s="10">
        <v>58157</v>
      </c>
      <c r="Z60" s="10">
        <v>32129</v>
      </c>
      <c r="AA60" s="10">
        <v>27128</v>
      </c>
      <c r="AB60" s="10">
        <v>0</v>
      </c>
      <c r="AC60" s="10">
        <f>17286+68386+50508</f>
        <v>136180</v>
      </c>
      <c r="AD60" s="10">
        <v>17688</v>
      </c>
      <c r="AE60" s="10">
        <v>10292</v>
      </c>
      <c r="AF60" s="10">
        <v>133222</v>
      </c>
      <c r="AG60" s="10">
        <v>0</v>
      </c>
      <c r="AH60" s="10">
        <v>1021614</v>
      </c>
      <c r="AI60" s="10">
        <v>1023950</v>
      </c>
      <c r="AJ60" s="23">
        <f t="shared" si="7"/>
        <v>0</v>
      </c>
      <c r="AK60" s="10">
        <v>65326</v>
      </c>
      <c r="AL60" s="10">
        <v>613</v>
      </c>
      <c r="AM60" s="10">
        <v>126473</v>
      </c>
      <c r="AN60" s="10">
        <v>0</v>
      </c>
      <c r="AO60" s="10">
        <v>164621</v>
      </c>
      <c r="AP60" s="10">
        <v>0</v>
      </c>
      <c r="AQ60" s="10">
        <v>0</v>
      </c>
      <c r="AR60" s="10">
        <v>0</v>
      </c>
      <c r="AS60" s="10">
        <v>2687</v>
      </c>
      <c r="AT60" s="10">
        <v>2153</v>
      </c>
      <c r="AU60" s="10">
        <v>-158</v>
      </c>
      <c r="AV60" s="10">
        <v>-419</v>
      </c>
      <c r="AW60" s="10">
        <v>-287</v>
      </c>
      <c r="AX60" s="10">
        <f>3-1</f>
        <v>2</v>
      </c>
      <c r="AY60" s="10">
        <f t="shared" si="8"/>
        <v>3978</v>
      </c>
      <c r="AZ60" s="1">
        <v>14</v>
      </c>
      <c r="BA60" s="1">
        <v>140</v>
      </c>
      <c r="BB60" s="1">
        <v>28</v>
      </c>
      <c r="BC60" s="1">
        <v>106</v>
      </c>
      <c r="BD60" s="1">
        <v>10</v>
      </c>
    </row>
    <row r="61" spans="1:56" x14ac:dyDescent="0.25">
      <c r="A61" s="1">
        <v>6</v>
      </c>
      <c r="B61" s="1" t="s">
        <v>475</v>
      </c>
      <c r="C61" s="1" t="s">
        <v>588</v>
      </c>
      <c r="D61" s="1" t="s">
        <v>152</v>
      </c>
      <c r="E61" s="1" t="s">
        <v>606</v>
      </c>
      <c r="F61" s="7" t="s">
        <v>429</v>
      </c>
      <c r="G61" s="7" t="s">
        <v>587</v>
      </c>
      <c r="H61" s="10">
        <v>38999155</v>
      </c>
      <c r="I61" s="10">
        <v>2394753</v>
      </c>
      <c r="J61" s="10">
        <v>16570375</v>
      </c>
      <c r="K61" s="10">
        <v>8234408</v>
      </c>
      <c r="L61" s="10">
        <v>4234214</v>
      </c>
      <c r="M61" s="10">
        <v>5444938</v>
      </c>
      <c r="N61" s="10">
        <v>0</v>
      </c>
      <c r="O61" s="10">
        <v>37005573</v>
      </c>
      <c r="P61" s="23">
        <v>0.14000000000000001</v>
      </c>
      <c r="Q61" s="10">
        <v>5065</v>
      </c>
      <c r="R61" s="27">
        <f>2318119/36795543</f>
        <v>6.2999994319964239E-2</v>
      </c>
      <c r="S61" s="10">
        <v>2316668</v>
      </c>
      <c r="T61" s="10">
        <v>0</v>
      </c>
      <c r="U61" s="10">
        <f>290202+10817</f>
        <v>301019</v>
      </c>
      <c r="V61" s="10">
        <v>1190027</v>
      </c>
      <c r="W61" s="10">
        <v>94011</v>
      </c>
      <c r="X61" s="10">
        <v>194478</v>
      </c>
      <c r="Y61" s="10">
        <f>255634+29908</f>
        <v>285542</v>
      </c>
      <c r="Z61" s="10">
        <v>60999</v>
      </c>
      <c r="AA61" s="10">
        <v>3010</v>
      </c>
      <c r="AB61" s="10">
        <v>7563</v>
      </c>
      <c r="AC61" s="10">
        <f>27968+176840+94716</f>
        <v>299524</v>
      </c>
      <c r="AD61" s="10">
        <v>34597</v>
      </c>
      <c r="AE61" s="10">
        <v>1144</v>
      </c>
      <c r="AF61" s="10">
        <v>196349</v>
      </c>
      <c r="AG61" s="10">
        <v>0</v>
      </c>
      <c r="AH61" s="10">
        <v>2679947</v>
      </c>
      <c r="AI61" s="10">
        <v>2809311</v>
      </c>
      <c r="AJ61" s="23">
        <f t="shared" si="7"/>
        <v>0</v>
      </c>
      <c r="AK61" s="10">
        <v>406283</v>
      </c>
      <c r="AL61" s="10">
        <v>15073</v>
      </c>
      <c r="AM61" s="10">
        <v>126473</v>
      </c>
      <c r="AN61" s="10">
        <v>0</v>
      </c>
      <c r="AO61" s="10">
        <v>427269</v>
      </c>
      <c r="AP61" s="10">
        <v>0</v>
      </c>
      <c r="AQ61" s="10">
        <v>0</v>
      </c>
      <c r="AR61" s="10">
        <v>0</v>
      </c>
      <c r="AS61" s="10">
        <v>8711</v>
      </c>
      <c r="AT61" s="10">
        <v>6016</v>
      </c>
      <c r="AU61" s="10">
        <v>-360</v>
      </c>
      <c r="AV61" s="10">
        <v>-2967</v>
      </c>
      <c r="AW61" s="10">
        <v>-1280</v>
      </c>
      <c r="AX61" s="10">
        <f>22+55-53</f>
        <v>24</v>
      </c>
      <c r="AY61" s="10">
        <f t="shared" si="8"/>
        <v>10144</v>
      </c>
      <c r="AZ61" s="1">
        <v>100</v>
      </c>
      <c r="BA61" s="1" t="s">
        <v>405</v>
      </c>
      <c r="BB61" s="1" t="s">
        <v>405</v>
      </c>
      <c r="BC61" s="1" t="s">
        <v>405</v>
      </c>
      <c r="BD61" s="1" t="s">
        <v>405</v>
      </c>
    </row>
    <row r="62" spans="1:56" x14ac:dyDescent="0.25">
      <c r="A62" s="1">
        <v>6</v>
      </c>
      <c r="B62" s="1" t="s">
        <v>602</v>
      </c>
      <c r="C62" s="7" t="s">
        <v>589</v>
      </c>
      <c r="D62" s="1" t="s">
        <v>220</v>
      </c>
      <c r="E62" s="1" t="s">
        <v>606</v>
      </c>
      <c r="F62" s="7" t="s">
        <v>429</v>
      </c>
      <c r="G62" s="7" t="s">
        <v>587</v>
      </c>
      <c r="H62" s="10">
        <v>25675746</v>
      </c>
      <c r="I62" s="10">
        <v>473585</v>
      </c>
      <c r="J62" s="10">
        <v>11794983</v>
      </c>
      <c r="K62" s="10">
        <v>5180671</v>
      </c>
      <c r="L62" s="10">
        <v>2370286</v>
      </c>
      <c r="M62" s="10">
        <v>3564606</v>
      </c>
      <c r="N62" s="10">
        <v>0</v>
      </c>
      <c r="O62" s="10">
        <v>25080307</v>
      </c>
      <c r="P62" s="23">
        <v>7.1999999999999995E-2</v>
      </c>
      <c r="Q62" s="10">
        <v>0</v>
      </c>
      <c r="R62" s="27">
        <f>1990703/24883791</f>
        <v>7.9999988747695233E-2</v>
      </c>
      <c r="S62" s="10">
        <v>1990589</v>
      </c>
      <c r="T62" s="10">
        <v>0</v>
      </c>
      <c r="U62" s="10">
        <f>94437+4122</f>
        <v>98559</v>
      </c>
      <c r="V62" s="10">
        <v>946761</v>
      </c>
      <c r="W62" s="10">
        <v>79202</v>
      </c>
      <c r="X62" s="10">
        <v>242738</v>
      </c>
      <c r="Y62" s="10">
        <v>228322</v>
      </c>
      <c r="Z62" s="10">
        <v>42000</v>
      </c>
      <c r="AA62" s="10">
        <v>24011</v>
      </c>
      <c r="AB62" s="10">
        <v>50042</v>
      </c>
      <c r="AC62" s="10">
        <f>53691+104237+78648</f>
        <v>236576</v>
      </c>
      <c r="AD62" s="10">
        <v>17797</v>
      </c>
      <c r="AE62" s="10">
        <v>25216</v>
      </c>
      <c r="AF62" s="10">
        <v>48063</v>
      </c>
      <c r="AG62" s="10">
        <v>97518</v>
      </c>
      <c r="AH62" s="10">
        <v>2127884</v>
      </c>
      <c r="AI62" s="10">
        <v>2127433</v>
      </c>
      <c r="AJ62" s="23">
        <f t="shared" si="7"/>
        <v>4.5828625996529884E-2</v>
      </c>
      <c r="AK62" s="10">
        <v>308810</v>
      </c>
      <c r="AL62" s="10">
        <f>147+133</f>
        <v>280</v>
      </c>
      <c r="AM62" s="10">
        <v>126473</v>
      </c>
      <c r="AN62" s="10">
        <v>0</v>
      </c>
      <c r="AO62" s="10">
        <v>317525</v>
      </c>
      <c r="AP62" s="10">
        <v>0</v>
      </c>
      <c r="AQ62" s="10">
        <v>0</v>
      </c>
      <c r="AR62" s="10">
        <v>0</v>
      </c>
      <c r="AS62" s="10">
        <v>5654</v>
      </c>
      <c r="AT62" s="10">
        <v>3500</v>
      </c>
      <c r="AU62" s="10">
        <v>-159</v>
      </c>
      <c r="AV62" s="10">
        <v>-1664</v>
      </c>
      <c r="AW62" s="10">
        <v>-738</v>
      </c>
      <c r="AX62" s="10">
        <f>10+30-2+11</f>
        <v>49</v>
      </c>
      <c r="AY62" s="10">
        <f t="shared" si="8"/>
        <v>6642</v>
      </c>
      <c r="AZ62" s="1">
        <v>12</v>
      </c>
      <c r="BA62" s="1">
        <v>187</v>
      </c>
      <c r="BB62" s="1">
        <v>38</v>
      </c>
      <c r="BC62" s="1">
        <v>398</v>
      </c>
      <c r="BD62" s="1">
        <v>115</v>
      </c>
    </row>
    <row r="63" spans="1:56" x14ac:dyDescent="0.25">
      <c r="A63" s="1">
        <v>6</v>
      </c>
      <c r="B63" s="1" t="s">
        <v>641</v>
      </c>
      <c r="C63" s="7" t="s">
        <v>506</v>
      </c>
      <c r="D63" s="1" t="s">
        <v>346</v>
      </c>
      <c r="E63" s="1" t="s">
        <v>606</v>
      </c>
      <c r="F63" s="7" t="s">
        <v>429</v>
      </c>
      <c r="G63" s="7" t="s">
        <v>587</v>
      </c>
      <c r="H63" s="10">
        <v>7184551</v>
      </c>
      <c r="I63" s="10">
        <v>158346</v>
      </c>
      <c r="J63" s="10">
        <v>3906635</v>
      </c>
      <c r="K63" s="10">
        <v>360378</v>
      </c>
      <c r="L63" s="10">
        <v>1357068</v>
      </c>
      <c r="M63" s="10">
        <v>722141</v>
      </c>
      <c r="N63" s="10">
        <v>0</v>
      </c>
      <c r="O63" s="10">
        <v>6973366</v>
      </c>
      <c r="P63" s="23">
        <v>4.2882999999999998E-2</v>
      </c>
      <c r="Q63" s="10">
        <v>0</v>
      </c>
      <c r="R63" s="27">
        <f>584044/6930266</f>
        <v>8.4274398702733774E-2</v>
      </c>
      <c r="S63" s="10">
        <v>584040</v>
      </c>
      <c r="T63" s="10">
        <v>0</v>
      </c>
      <c r="U63" s="10">
        <f>13568+594+2571</f>
        <v>16733</v>
      </c>
      <c r="V63" s="10">
        <v>173923</v>
      </c>
      <c r="W63" s="10">
        <v>14927</v>
      </c>
      <c r="X63" s="10">
        <v>16133</v>
      </c>
      <c r="Y63" s="10">
        <v>21600</v>
      </c>
      <c r="Z63" s="10">
        <v>19935</v>
      </c>
      <c r="AA63" s="10">
        <v>14245</v>
      </c>
      <c r="AB63" s="10">
        <v>0</v>
      </c>
      <c r="AC63" s="10">
        <f>3312+30074+23826</f>
        <v>57212</v>
      </c>
      <c r="AD63" s="10">
        <v>9105</v>
      </c>
      <c r="AE63" s="10">
        <v>0</v>
      </c>
      <c r="AF63" s="10">
        <v>93448</v>
      </c>
      <c r="AG63" s="10">
        <v>39429</v>
      </c>
      <c r="AH63" s="10">
        <v>484773</v>
      </c>
      <c r="AI63" s="10">
        <v>551810</v>
      </c>
      <c r="AJ63" s="23">
        <f t="shared" si="7"/>
        <v>8.133497533897309E-2</v>
      </c>
      <c r="AK63" s="10">
        <v>45415</v>
      </c>
      <c r="AL63" s="10">
        <v>584</v>
      </c>
      <c r="AM63" s="10">
        <v>126473</v>
      </c>
      <c r="AN63" s="10">
        <v>0</v>
      </c>
      <c r="AO63" s="10">
        <v>79461</v>
      </c>
      <c r="AP63" s="10">
        <v>0</v>
      </c>
      <c r="AQ63" s="10">
        <v>0</v>
      </c>
      <c r="AR63" s="10">
        <v>0</v>
      </c>
      <c r="AS63" s="10">
        <v>1498</v>
      </c>
      <c r="AT63" s="10">
        <v>655</v>
      </c>
      <c r="AU63" s="10">
        <v>-97</v>
      </c>
      <c r="AV63" s="10">
        <v>-179</v>
      </c>
      <c r="AW63" s="10">
        <v>-72</v>
      </c>
      <c r="AX63" s="10">
        <f>1+2+4-3</f>
        <v>4</v>
      </c>
      <c r="AY63" s="10">
        <f t="shared" si="8"/>
        <v>1809</v>
      </c>
      <c r="AZ63" s="1">
        <v>0</v>
      </c>
      <c r="BA63" s="1">
        <v>49</v>
      </c>
      <c r="BB63" s="1">
        <v>10</v>
      </c>
      <c r="BC63" s="1">
        <v>13</v>
      </c>
      <c r="BD63" s="1">
        <v>0</v>
      </c>
    </row>
    <row r="64" spans="1:56" x14ac:dyDescent="0.25">
      <c r="A64" s="1">
        <v>7</v>
      </c>
      <c r="B64" s="1" t="s">
        <v>81</v>
      </c>
      <c r="C64" s="7" t="s">
        <v>123</v>
      </c>
      <c r="D64" s="1" t="s">
        <v>143</v>
      </c>
      <c r="E64" s="1" t="s">
        <v>606</v>
      </c>
      <c r="F64" s="7" t="s">
        <v>557</v>
      </c>
      <c r="G64" s="7" t="s">
        <v>587</v>
      </c>
      <c r="H64" s="10">
        <v>22189093</v>
      </c>
      <c r="I64" s="10">
        <v>430555</v>
      </c>
      <c r="J64" s="10">
        <v>12269130</v>
      </c>
      <c r="K64" s="10">
        <v>1818924</v>
      </c>
      <c r="L64" s="10">
        <v>1800014</v>
      </c>
      <c r="M64" s="10">
        <v>3697211</v>
      </c>
      <c r="N64" s="10">
        <v>0</v>
      </c>
      <c r="O64" s="10">
        <v>21137060</v>
      </c>
      <c r="P64" s="23">
        <v>0.12</v>
      </c>
      <c r="Q64" s="10">
        <v>0</v>
      </c>
      <c r="R64" s="27">
        <f>1555933/21137060</f>
        <v>7.3611609183112506E-2</v>
      </c>
      <c r="S64" s="10">
        <v>1551781</v>
      </c>
      <c r="T64" s="10">
        <v>0</v>
      </c>
      <c r="U64" s="10">
        <f>107773+6994</f>
        <v>114767</v>
      </c>
      <c r="V64" s="10">
        <v>655276</v>
      </c>
      <c r="W64" s="10">
        <v>51740</v>
      </c>
      <c r="X64" s="10">
        <v>148552</v>
      </c>
      <c r="Y64" s="10">
        <v>102206</v>
      </c>
      <c r="Z64" s="10">
        <v>30000</v>
      </c>
      <c r="AA64" s="10">
        <v>20267</v>
      </c>
      <c r="AB64" s="10">
        <v>18798</v>
      </c>
      <c r="AC64" s="10">
        <f>25089+88416+75648</f>
        <v>189153</v>
      </c>
      <c r="AD64" s="10">
        <v>14893</v>
      </c>
      <c r="AE64" s="10">
        <v>2967</v>
      </c>
      <c r="AF64" s="10">
        <v>102999</v>
      </c>
      <c r="AG64" s="10">
        <v>42309</v>
      </c>
      <c r="AH64" s="10">
        <v>1449952</v>
      </c>
      <c r="AI64" s="10">
        <v>1475550</v>
      </c>
      <c r="AJ64" s="23">
        <f t="shared" si="7"/>
        <v>2.9179586634592043E-2</v>
      </c>
      <c r="AK64" s="10">
        <v>102306</v>
      </c>
      <c r="AL64" s="10">
        <v>1841</v>
      </c>
      <c r="AM64" s="10">
        <v>126473</v>
      </c>
      <c r="AN64" s="10">
        <v>0</v>
      </c>
      <c r="AO64" s="10">
        <v>197801</v>
      </c>
      <c r="AP64" s="10">
        <v>0</v>
      </c>
      <c r="AQ64" s="10">
        <v>0</v>
      </c>
      <c r="AR64" s="10">
        <v>0</v>
      </c>
      <c r="AS64" s="10">
        <v>5726</v>
      </c>
      <c r="AT64" s="10">
        <v>3551</v>
      </c>
      <c r="AU64" s="10">
        <v>-258</v>
      </c>
      <c r="AV64" s="10">
        <v>-1592</v>
      </c>
      <c r="AW64" s="10">
        <v>-326</v>
      </c>
      <c r="AX64" s="10">
        <f>1+5</f>
        <v>6</v>
      </c>
      <c r="AY64" s="10">
        <f t="shared" si="8"/>
        <v>7107</v>
      </c>
      <c r="AZ64" s="1">
        <v>15</v>
      </c>
      <c r="BA64" s="1" t="s">
        <v>404</v>
      </c>
      <c r="BB64" s="1" t="s">
        <v>404</v>
      </c>
      <c r="BC64" s="1" t="s">
        <v>404</v>
      </c>
      <c r="BD64" s="1" t="s">
        <v>404</v>
      </c>
    </row>
    <row r="65" spans="1:56" x14ac:dyDescent="0.25">
      <c r="A65" s="1">
        <v>7</v>
      </c>
      <c r="B65" s="1" t="s">
        <v>85</v>
      </c>
      <c r="C65" s="7" t="s">
        <v>469</v>
      </c>
      <c r="D65" s="1" t="s">
        <v>193</v>
      </c>
      <c r="E65" s="1" t="s">
        <v>606</v>
      </c>
      <c r="F65" s="7" t="s">
        <v>630</v>
      </c>
      <c r="G65" s="7" t="s">
        <v>587</v>
      </c>
      <c r="H65" s="10">
        <v>16114973</v>
      </c>
      <c r="I65" s="10">
        <v>433827</v>
      </c>
      <c r="J65" s="10">
        <v>6669288</v>
      </c>
      <c r="K65" s="10">
        <v>1499506</v>
      </c>
      <c r="L65" s="10">
        <v>3660347</v>
      </c>
      <c r="M65" s="10">
        <v>2296614</v>
      </c>
      <c r="N65" s="10">
        <v>128371</v>
      </c>
      <c r="O65" s="10">
        <v>15489333</v>
      </c>
      <c r="P65" s="23">
        <v>3.1199999999999999E-2</v>
      </c>
      <c r="Q65" s="10">
        <v>0</v>
      </c>
      <c r="R65" s="27">
        <f>980405/15360962</f>
        <v>6.382445318203378E-2</v>
      </c>
      <c r="S65" s="10">
        <v>978399</v>
      </c>
      <c r="T65" s="10">
        <v>0</v>
      </c>
      <c r="U65" s="10">
        <f>34758+3211</f>
        <v>37969</v>
      </c>
      <c r="V65" s="10">
        <v>363213</v>
      </c>
      <c r="W65" s="10">
        <v>33433</v>
      </c>
      <c r="X65" s="10">
        <v>119200</v>
      </c>
      <c r="Y65" s="10">
        <f>42576+10255</f>
        <v>52831</v>
      </c>
      <c r="Z65" s="10">
        <v>125</v>
      </c>
      <c r="AA65" s="10">
        <v>107178</v>
      </c>
      <c r="AB65" s="10">
        <v>3900</v>
      </c>
      <c r="AC65" s="10">
        <f>10607+83104+39105</f>
        <v>132816</v>
      </c>
      <c r="AD65" s="10">
        <v>9165</v>
      </c>
      <c r="AE65" s="10">
        <v>5500</v>
      </c>
      <c r="AF65" s="10">
        <v>46808</v>
      </c>
      <c r="AG65" s="10">
        <v>95545</v>
      </c>
      <c r="AH65" s="10">
        <v>960283</v>
      </c>
      <c r="AI65" s="10">
        <v>993794</v>
      </c>
      <c r="AJ65" s="23">
        <f t="shared" si="7"/>
        <v>9.9496710865442789E-2</v>
      </c>
      <c r="AK65" s="10">
        <v>123231</v>
      </c>
      <c r="AL65" s="10">
        <v>0</v>
      </c>
      <c r="AM65" s="10">
        <v>126473</v>
      </c>
      <c r="AN65" s="10">
        <v>0</v>
      </c>
      <c r="AO65" s="10">
        <v>181214</v>
      </c>
      <c r="AP65" s="10">
        <v>17966</v>
      </c>
      <c r="AQ65" s="10">
        <v>17966</v>
      </c>
      <c r="AR65" s="10">
        <v>0</v>
      </c>
      <c r="AS65" s="10">
        <v>4572</v>
      </c>
      <c r="AT65" s="10">
        <v>1989</v>
      </c>
      <c r="AU65" s="10">
        <v>-154</v>
      </c>
      <c r="AV65" s="10">
        <v>-828</v>
      </c>
      <c r="AW65" s="10">
        <v>-578</v>
      </c>
      <c r="AX65" s="10">
        <v>-7</v>
      </c>
      <c r="AY65" s="10">
        <f t="shared" si="8"/>
        <v>4994</v>
      </c>
      <c r="AZ65" s="1">
        <v>15</v>
      </c>
      <c r="BA65" s="1">
        <v>253</v>
      </c>
      <c r="BB65" s="1">
        <v>117</v>
      </c>
      <c r="BC65" s="1">
        <v>199</v>
      </c>
      <c r="BD65" s="1">
        <v>3</v>
      </c>
    </row>
    <row r="66" spans="1:56" x14ac:dyDescent="0.25">
      <c r="A66" s="1">
        <v>7</v>
      </c>
      <c r="B66" s="1" t="s">
        <v>255</v>
      </c>
      <c r="C66" s="7" t="s">
        <v>639</v>
      </c>
      <c r="D66" s="1" t="s">
        <v>267</v>
      </c>
      <c r="E66" s="1" t="s">
        <v>606</v>
      </c>
      <c r="F66" s="7" t="s">
        <v>557</v>
      </c>
      <c r="G66" s="7" t="s">
        <v>587</v>
      </c>
      <c r="H66" s="10">
        <v>21216653</v>
      </c>
      <c r="I66" s="10">
        <v>694881</v>
      </c>
      <c r="J66" s="10">
        <v>11498980</v>
      </c>
      <c r="K66" s="10">
        <v>3212405</v>
      </c>
      <c r="L66" s="10">
        <v>2254166</v>
      </c>
      <c r="M66" s="10">
        <v>1980024</v>
      </c>
      <c r="N66" s="10">
        <v>3280</v>
      </c>
      <c r="O66" s="10">
        <v>20325529</v>
      </c>
      <c r="P66" s="23">
        <v>0.1</v>
      </c>
      <c r="Q66" s="10">
        <v>23420</v>
      </c>
      <c r="R66" s="27">
        <f>1361316/20298829</f>
        <v>6.7063770033236894E-2</v>
      </c>
      <c r="S66" s="10">
        <v>1358635</v>
      </c>
      <c r="T66" s="10">
        <v>0</v>
      </c>
      <c r="U66" s="10">
        <f>60286+2518</f>
        <v>62804</v>
      </c>
      <c r="V66" s="10">
        <v>596547</v>
      </c>
      <c r="W66" s="10">
        <v>47700</v>
      </c>
      <c r="X66" s="10">
        <v>113393</v>
      </c>
      <c r="Y66" s="10">
        <v>96486</v>
      </c>
      <c r="Z66" s="10">
        <v>0</v>
      </c>
      <c r="AA66" s="10">
        <v>22442</v>
      </c>
      <c r="AB66" s="10">
        <v>80528</v>
      </c>
      <c r="AC66" s="10">
        <f>16700+84254+56048</f>
        <v>157002</v>
      </c>
      <c r="AD66" s="10">
        <v>11222</v>
      </c>
      <c r="AE66" s="10">
        <v>0</v>
      </c>
      <c r="AF66" s="10">
        <v>64283</v>
      </c>
      <c r="AG66" s="10">
        <v>58298</v>
      </c>
      <c r="AH66" s="10">
        <v>1311386</v>
      </c>
      <c r="AI66" s="10">
        <v>1329978</v>
      </c>
      <c r="AJ66" s="23">
        <f t="shared" si="7"/>
        <v>4.4455255737059877E-2</v>
      </c>
      <c r="AK66" s="10">
        <v>157561</v>
      </c>
      <c r="AL66" s="10">
        <v>0</v>
      </c>
      <c r="AM66" s="10">
        <v>126473</v>
      </c>
      <c r="AN66" s="10">
        <v>0</v>
      </c>
      <c r="AO66" s="10">
        <v>166295</v>
      </c>
      <c r="AP66" s="10">
        <v>0</v>
      </c>
      <c r="AQ66" s="10">
        <v>0</v>
      </c>
      <c r="AR66" s="10">
        <v>0</v>
      </c>
      <c r="AS66" s="10">
        <v>5007</v>
      </c>
      <c r="AT66" s="10">
        <v>2629</v>
      </c>
      <c r="AU66" s="10">
        <v>-242</v>
      </c>
      <c r="AV66" s="10">
        <v>-1613</v>
      </c>
      <c r="AW66" s="10">
        <v>-640</v>
      </c>
      <c r="AX66" s="10">
        <v>-4</v>
      </c>
      <c r="AY66" s="10">
        <f t="shared" si="8"/>
        <v>5137</v>
      </c>
      <c r="AZ66" s="1">
        <v>10</v>
      </c>
      <c r="BA66" s="1" t="s">
        <v>405</v>
      </c>
      <c r="BB66" s="1" t="s">
        <v>405</v>
      </c>
      <c r="BC66" s="1" t="s">
        <v>405</v>
      </c>
      <c r="BD66" s="1" t="s">
        <v>405</v>
      </c>
    </row>
    <row r="67" spans="1:56" x14ac:dyDescent="0.25">
      <c r="A67" s="1">
        <v>7</v>
      </c>
      <c r="B67" s="1" t="s">
        <v>257</v>
      </c>
      <c r="C67" s="7" t="s">
        <v>485</v>
      </c>
      <c r="D67" s="1" t="s">
        <v>53</v>
      </c>
      <c r="E67" s="1" t="s">
        <v>606</v>
      </c>
      <c r="F67" s="7" t="s">
        <v>630</v>
      </c>
      <c r="G67" s="7" t="s">
        <v>587</v>
      </c>
      <c r="H67" s="10">
        <v>29395976</v>
      </c>
      <c r="I67" s="10">
        <v>1015223</v>
      </c>
      <c r="J67" s="10">
        <v>15869065</v>
      </c>
      <c r="K67" s="10">
        <v>3544012</v>
      </c>
      <c r="L67" s="10">
        <v>4883082</v>
      </c>
      <c r="M67" s="10">
        <v>2346867</v>
      </c>
      <c r="N67" s="10">
        <v>3883</v>
      </c>
      <c r="O67" s="10">
        <v>28154470</v>
      </c>
      <c r="P67" s="23">
        <v>5.8299999999999998E-2</v>
      </c>
      <c r="Q67" s="10">
        <v>0</v>
      </c>
      <c r="R67" s="27">
        <f>1402245/28044901</f>
        <v>4.9999998217144716E-2</v>
      </c>
      <c r="S67" s="10">
        <v>1401875</v>
      </c>
      <c r="T67" s="10">
        <v>0</v>
      </c>
      <c r="U67" s="10">
        <f>32939+8640</f>
        <v>41579</v>
      </c>
      <c r="V67" s="10">
        <v>612905</v>
      </c>
      <c r="W67" s="10">
        <v>49911</v>
      </c>
      <c r="X67" s="10">
        <v>182554</v>
      </c>
      <c r="Y67" s="10">
        <v>140922</v>
      </c>
      <c r="Z67" s="10">
        <v>0</v>
      </c>
      <c r="AA67" s="10">
        <v>55469</v>
      </c>
      <c r="AB67" s="10">
        <v>19212</v>
      </c>
      <c r="AC67" s="10">
        <f>20034+91141+47936</f>
        <v>159111</v>
      </c>
      <c r="AD67" s="10">
        <v>10792</v>
      </c>
      <c r="AE67" s="10">
        <v>1286</v>
      </c>
      <c r="AF67" s="10">
        <v>28813</v>
      </c>
      <c r="AG67" s="10">
        <v>0</v>
      </c>
      <c r="AH67" s="10">
        <v>1392408</v>
      </c>
      <c r="AI67" s="10">
        <v>1451980</v>
      </c>
      <c r="AJ67" s="23">
        <f t="shared" si="7"/>
        <v>0</v>
      </c>
      <c r="AK67" s="10">
        <v>176826</v>
      </c>
      <c r="AL67" s="10">
        <v>0</v>
      </c>
      <c r="AM67" s="10">
        <v>126473</v>
      </c>
      <c r="AN67" s="10">
        <v>0</v>
      </c>
      <c r="AO67" s="10">
        <v>216368</v>
      </c>
      <c r="AP67" s="10">
        <v>0</v>
      </c>
      <c r="AQ67" s="10">
        <v>0</v>
      </c>
      <c r="AR67" s="10">
        <v>0</v>
      </c>
      <c r="AS67" s="10">
        <v>5012</v>
      </c>
      <c r="AT67" s="10">
        <v>2902</v>
      </c>
      <c r="AU67" s="10">
        <v>-275</v>
      </c>
      <c r="AV67" s="10">
        <v>-1023</v>
      </c>
      <c r="AW67" s="10">
        <v>-792</v>
      </c>
      <c r="AX67" s="10">
        <f>3+29-3</f>
        <v>29</v>
      </c>
      <c r="AY67" s="10">
        <f t="shared" si="8"/>
        <v>5853</v>
      </c>
      <c r="AZ67" s="1">
        <v>2</v>
      </c>
      <c r="BA67" s="1" t="s">
        <v>405</v>
      </c>
      <c r="BB67" s="1" t="s">
        <v>405</v>
      </c>
      <c r="BC67" s="1" t="s">
        <v>405</v>
      </c>
      <c r="BD67" s="1" t="s">
        <v>405</v>
      </c>
    </row>
    <row r="68" spans="1:56" x14ac:dyDescent="0.25">
      <c r="A68" s="1">
        <v>7</v>
      </c>
      <c r="B68" s="1" t="s">
        <v>431</v>
      </c>
      <c r="C68" s="7" t="s">
        <v>231</v>
      </c>
      <c r="D68" s="1" t="s">
        <v>383</v>
      </c>
      <c r="E68" s="1" t="s">
        <v>606</v>
      </c>
      <c r="F68" s="7" t="s">
        <v>630</v>
      </c>
      <c r="G68" s="7" t="s">
        <v>587</v>
      </c>
      <c r="H68" s="10">
        <v>1365823</v>
      </c>
      <c r="I68" s="10">
        <v>6400</v>
      </c>
      <c r="J68" s="10">
        <v>671111</v>
      </c>
      <c r="K68" s="10">
        <v>219413</v>
      </c>
      <c r="L68" s="10">
        <v>206903</v>
      </c>
      <c r="M68" s="10">
        <v>127890</v>
      </c>
      <c r="N68" s="10"/>
      <c r="O68" s="10">
        <v>1367010</v>
      </c>
      <c r="P68" s="23">
        <v>0.01</v>
      </c>
      <c r="Q68" s="10">
        <v>0</v>
      </c>
      <c r="R68" s="27">
        <f>136146/1361461</f>
        <v>9.9999926549493523E-2</v>
      </c>
      <c r="S68" s="10">
        <v>136144</v>
      </c>
      <c r="T68" s="10">
        <v>0</v>
      </c>
      <c r="U68" s="10">
        <f>988+68</f>
        <v>1056</v>
      </c>
      <c r="V68" s="10">
        <v>24000</v>
      </c>
      <c r="W68" s="10">
        <v>0</v>
      </c>
      <c r="X68" s="10">
        <v>0</v>
      </c>
      <c r="Y68" s="10">
        <v>3687</v>
      </c>
      <c r="Z68" s="10">
        <v>0</v>
      </c>
      <c r="AA68" s="10">
        <v>7859</v>
      </c>
      <c r="AB68" s="10">
        <v>0</v>
      </c>
      <c r="AC68" s="10">
        <f>2252+4636+2127</f>
        <v>9015</v>
      </c>
      <c r="AD68" s="10">
        <v>2861</v>
      </c>
      <c r="AE68" s="10">
        <v>3830</v>
      </c>
      <c r="AF68" s="10">
        <v>2886</v>
      </c>
      <c r="AG68" s="10">
        <v>33656</v>
      </c>
      <c r="AH68" s="10">
        <v>67960</v>
      </c>
      <c r="AI68" s="10">
        <v>73500</v>
      </c>
      <c r="AJ68" s="23">
        <f t="shared" si="7"/>
        <v>0.49523248969982342</v>
      </c>
      <c r="AK68" s="10">
        <v>0</v>
      </c>
      <c r="AL68" s="10">
        <v>0</v>
      </c>
      <c r="AM68" s="10">
        <v>67842</v>
      </c>
      <c r="AN68" s="10">
        <v>0</v>
      </c>
      <c r="AO68" s="10">
        <v>6947</v>
      </c>
      <c r="AP68" s="10">
        <v>0</v>
      </c>
      <c r="AQ68" s="10">
        <v>0</v>
      </c>
      <c r="AR68" s="10">
        <v>0</v>
      </c>
      <c r="AS68" s="10">
        <v>147</v>
      </c>
      <c r="AT68" s="10">
        <v>135</v>
      </c>
      <c r="AU68" s="10">
        <v>-20</v>
      </c>
      <c r="AV68" s="10">
        <v>-19</v>
      </c>
      <c r="AW68" s="10">
        <v>-17</v>
      </c>
      <c r="AX68" s="10">
        <v>2</v>
      </c>
      <c r="AY68" s="10">
        <f t="shared" si="8"/>
        <v>228</v>
      </c>
      <c r="AZ68" s="1">
        <v>0</v>
      </c>
      <c r="BA68" s="1">
        <v>10</v>
      </c>
      <c r="BB68" s="1">
        <v>1</v>
      </c>
      <c r="BC68" s="1">
        <v>6</v>
      </c>
      <c r="BD68" s="1">
        <v>0</v>
      </c>
    </row>
    <row r="69" spans="1:56" x14ac:dyDescent="0.25">
      <c r="A69" s="1">
        <v>7</v>
      </c>
      <c r="B69" s="1" t="s">
        <v>446</v>
      </c>
      <c r="C69" s="7" t="s">
        <v>5</v>
      </c>
      <c r="D69" s="1" t="s">
        <v>525</v>
      </c>
      <c r="E69" s="1" t="s">
        <v>606</v>
      </c>
      <c r="F69" s="7" t="s">
        <v>630</v>
      </c>
      <c r="G69" s="7" t="s">
        <v>587</v>
      </c>
      <c r="H69" s="10">
        <v>35058018</v>
      </c>
      <c r="I69" s="10">
        <v>1781149</v>
      </c>
      <c r="J69" s="10">
        <v>18724404</v>
      </c>
      <c r="K69" s="10">
        <v>2003609</v>
      </c>
      <c r="L69" s="10">
        <v>6167277</v>
      </c>
      <c r="M69" s="10">
        <v>3734036</v>
      </c>
      <c r="N69" s="10">
        <v>12063</v>
      </c>
      <c r="O69" s="10">
        <v>32626999</v>
      </c>
      <c r="P69" s="23">
        <v>6.3E-2</v>
      </c>
      <c r="Q69" s="10">
        <v>0</v>
      </c>
      <c r="R69" s="27">
        <f>1855290/31946130</f>
        <v>5.8075579107704126E-2</v>
      </c>
      <c r="S69" s="10">
        <v>1855958</v>
      </c>
      <c r="T69" s="10">
        <v>0</v>
      </c>
      <c r="U69" s="10">
        <f>140084+4169</f>
        <v>144253</v>
      </c>
      <c r="V69" s="10">
        <v>895416</v>
      </c>
      <c r="W69" s="10">
        <v>72133</v>
      </c>
      <c r="X69" s="10">
        <v>227361</v>
      </c>
      <c r="Y69" s="10">
        <f>179297+1858</f>
        <v>181155</v>
      </c>
      <c r="Z69" s="10">
        <v>0</v>
      </c>
      <c r="AA69" s="10">
        <v>47207</v>
      </c>
      <c r="AB69" s="10">
        <v>63651</v>
      </c>
      <c r="AC69" s="10">
        <f>23639+134438+70067</f>
        <v>228144</v>
      </c>
      <c r="AD69" s="10">
        <v>17752</v>
      </c>
      <c r="AE69" s="10">
        <v>0</v>
      </c>
      <c r="AF69" s="10">
        <v>91987</v>
      </c>
      <c r="AG69" s="10">
        <v>0</v>
      </c>
      <c r="AH69" s="10">
        <v>1962556</v>
      </c>
      <c r="AI69" s="10">
        <v>2027349</v>
      </c>
      <c r="AJ69" s="23">
        <f t="shared" si="7"/>
        <v>0</v>
      </c>
      <c r="AK69" s="10">
        <v>197485</v>
      </c>
      <c r="AL69" s="10">
        <v>0</v>
      </c>
      <c r="AM69" s="10">
        <v>126473</v>
      </c>
      <c r="AN69" s="10">
        <v>0</v>
      </c>
      <c r="AO69" s="10">
        <v>250384</v>
      </c>
      <c r="AP69" s="10">
        <v>0</v>
      </c>
      <c r="AQ69" s="10">
        <v>0</v>
      </c>
      <c r="AR69" s="10">
        <v>0</v>
      </c>
      <c r="AS69" s="10">
        <v>6448</v>
      </c>
      <c r="AT69" s="10">
        <v>3056</v>
      </c>
      <c r="AU69" s="10">
        <v>-416</v>
      </c>
      <c r="AV69" s="10">
        <v>-1211</v>
      </c>
      <c r="AW69" s="10">
        <v>-866</v>
      </c>
      <c r="AX69" s="10">
        <v>15</v>
      </c>
      <c r="AY69" s="10">
        <f t="shared" si="8"/>
        <v>7026</v>
      </c>
      <c r="AZ69" s="1">
        <v>27</v>
      </c>
      <c r="BA69" s="1">
        <v>574</v>
      </c>
      <c r="BB69" s="1">
        <v>136</v>
      </c>
      <c r="BC69" s="1">
        <v>156</v>
      </c>
      <c r="BD69" s="1">
        <v>0</v>
      </c>
    </row>
    <row r="70" spans="1:56" x14ac:dyDescent="0.25">
      <c r="A70" s="1">
        <v>7</v>
      </c>
      <c r="B70" s="1" t="s">
        <v>437</v>
      </c>
      <c r="C70" s="7" t="s">
        <v>154</v>
      </c>
      <c r="D70" s="1" t="s">
        <v>323</v>
      </c>
      <c r="E70" s="1" t="s">
        <v>606</v>
      </c>
      <c r="F70" s="7" t="s">
        <v>557</v>
      </c>
      <c r="G70" s="7" t="s">
        <v>587</v>
      </c>
      <c r="H70" s="10">
        <v>21254918</v>
      </c>
      <c r="I70" s="10">
        <v>838700</v>
      </c>
      <c r="J70" s="10">
        <v>10849355</v>
      </c>
      <c r="K70" s="10">
        <v>3466538</v>
      </c>
      <c r="L70" s="10">
        <v>1979150</v>
      </c>
      <c r="M70" s="10">
        <v>1890421</v>
      </c>
      <c r="N70" s="10">
        <v>0</v>
      </c>
      <c r="O70" s="10">
        <v>19795390</v>
      </c>
      <c r="P70" s="23">
        <v>0.17</v>
      </c>
      <c r="Q70" s="10">
        <v>0</v>
      </c>
      <c r="R70" s="27">
        <f>1583781/19795390</f>
        <v>8.0007567418474701E-2</v>
      </c>
      <c r="S70" s="10">
        <v>1590957</v>
      </c>
      <c r="T70" s="10">
        <v>0</v>
      </c>
      <c r="U70" s="10">
        <f>57958+3188</f>
        <v>61146</v>
      </c>
      <c r="V70" s="10">
        <v>410344</v>
      </c>
      <c r="W70" s="10">
        <v>36930</v>
      </c>
      <c r="X70" s="10">
        <v>133145</v>
      </c>
      <c r="Y70" s="10">
        <v>94190</v>
      </c>
      <c r="Z70" s="10">
        <v>50410</v>
      </c>
      <c r="AA70" s="10">
        <v>250043</v>
      </c>
      <c r="AB70" s="10">
        <v>82741</v>
      </c>
      <c r="AC70" s="10">
        <f>16752+127866+44830</f>
        <v>189448</v>
      </c>
      <c r="AD70" s="10">
        <v>10808</v>
      </c>
      <c r="AE70" s="10">
        <v>19048</v>
      </c>
      <c r="AF70" s="10">
        <v>65854</v>
      </c>
      <c r="AG70" s="10">
        <v>0</v>
      </c>
      <c r="AH70" s="10">
        <v>1523841</v>
      </c>
      <c r="AI70" s="10">
        <v>1513431</v>
      </c>
      <c r="AJ70" s="23">
        <f t="shared" si="7"/>
        <v>0</v>
      </c>
      <c r="AK70" s="10">
        <v>201123</v>
      </c>
      <c r="AL70" s="10">
        <v>0</v>
      </c>
      <c r="AM70" s="10">
        <v>126469</v>
      </c>
      <c r="AN70" s="10">
        <v>0</v>
      </c>
      <c r="AO70" s="10">
        <v>223315</v>
      </c>
      <c r="AP70" s="10">
        <v>0</v>
      </c>
      <c r="AQ70" s="10">
        <v>0</v>
      </c>
      <c r="AR70" s="10">
        <v>0</v>
      </c>
      <c r="AS70" s="10">
        <v>4901</v>
      </c>
      <c r="AT70" s="10">
        <v>2584</v>
      </c>
      <c r="AU70" s="10">
        <v>-231</v>
      </c>
      <c r="AV70" s="10">
        <v>-1533</v>
      </c>
      <c r="AW70" s="10">
        <v>-562</v>
      </c>
      <c r="AX70" s="10">
        <v>-6</v>
      </c>
      <c r="AY70" s="10">
        <f t="shared" si="8"/>
        <v>5153</v>
      </c>
      <c r="AZ70" s="1">
        <v>72</v>
      </c>
      <c r="BA70" s="1" t="s">
        <v>405</v>
      </c>
      <c r="BB70" s="1" t="s">
        <v>405</v>
      </c>
      <c r="BC70" s="1" t="s">
        <v>405</v>
      </c>
      <c r="BD70" s="1" t="s">
        <v>405</v>
      </c>
    </row>
    <row r="71" spans="1:56" x14ac:dyDescent="0.25">
      <c r="A71" s="1">
        <v>8</v>
      </c>
      <c r="B71" s="1" t="s">
        <v>195</v>
      </c>
      <c r="C71" s="7" t="s">
        <v>234</v>
      </c>
      <c r="D71" s="1" t="s">
        <v>371</v>
      </c>
      <c r="E71" s="1" t="s">
        <v>590</v>
      </c>
      <c r="F71" s="7" t="s">
        <v>630</v>
      </c>
      <c r="G71" s="7" t="s">
        <v>584</v>
      </c>
      <c r="H71" s="10">
        <v>62361262</v>
      </c>
      <c r="I71" s="10">
        <v>1652445</v>
      </c>
      <c r="J71" s="10">
        <f>20535244+Q71</f>
        <v>42898635</v>
      </c>
      <c r="K71" s="10">
        <f>25302678-Q71</f>
        <v>2939287</v>
      </c>
      <c r="L71" s="10">
        <v>6515950</v>
      </c>
      <c r="M71" s="10">
        <v>2792246</v>
      </c>
      <c r="N71" s="10">
        <v>0</v>
      </c>
      <c r="O71" s="10">
        <v>60094739</v>
      </c>
      <c r="P71" s="23">
        <v>0.1</v>
      </c>
      <c r="Q71" s="10">
        <f>21682074+681317</f>
        <v>22363391</v>
      </c>
      <c r="R71" s="27">
        <f>1378437/37713286</f>
        <v>3.6550434772509612E-2</v>
      </c>
      <c r="S71" s="10">
        <v>1380205</v>
      </c>
      <c r="T71" s="10">
        <v>0</v>
      </c>
      <c r="U71" s="10">
        <f>207456+18776</f>
        <v>226232</v>
      </c>
      <c r="V71" s="10">
        <v>707158</v>
      </c>
      <c r="W71" s="10">
        <v>55343</v>
      </c>
      <c r="X71" s="10">
        <v>217355</v>
      </c>
      <c r="Y71" s="10">
        <v>149399</v>
      </c>
      <c r="Z71" s="10">
        <v>0</v>
      </c>
      <c r="AA71" s="10">
        <v>17298</v>
      </c>
      <c r="AB71" s="10">
        <v>0</v>
      </c>
      <c r="AC71" s="10">
        <f>15154+83415+61367</f>
        <v>159936</v>
      </c>
      <c r="AD71" s="10">
        <v>8940</v>
      </c>
      <c r="AE71" s="10">
        <v>0</v>
      </c>
      <c r="AF71" s="10">
        <v>50652</v>
      </c>
      <c r="AG71" s="10">
        <v>42805</v>
      </c>
      <c r="AH71" s="10">
        <v>1450666</v>
      </c>
      <c r="AI71" s="10">
        <v>1476350</v>
      </c>
      <c r="AJ71" s="23">
        <f t="shared" si="7"/>
        <v>2.9507136722029745E-2</v>
      </c>
      <c r="AK71" s="10">
        <v>177127</v>
      </c>
      <c r="AL71" s="10">
        <v>0</v>
      </c>
      <c r="AM71" s="10">
        <v>126473</v>
      </c>
      <c r="AN71" s="10">
        <v>0</v>
      </c>
      <c r="AO71" s="10">
        <v>147900</v>
      </c>
      <c r="AP71" s="10">
        <v>0</v>
      </c>
      <c r="AQ71" s="10">
        <v>0</v>
      </c>
      <c r="AR71" s="10">
        <v>0</v>
      </c>
      <c r="AS71" s="10">
        <v>11847</v>
      </c>
      <c r="AT71" s="10">
        <v>7403</v>
      </c>
      <c r="AU71" s="10">
        <v>-422</v>
      </c>
      <c r="AV71" s="10">
        <v>-4039</v>
      </c>
      <c r="AW71" s="10">
        <v>-1308</v>
      </c>
      <c r="AX71" s="10">
        <v>-5</v>
      </c>
      <c r="AY71" s="10">
        <f t="shared" si="8"/>
        <v>13476</v>
      </c>
      <c r="AZ71" s="1">
        <v>258</v>
      </c>
      <c r="BA71" s="1" t="s">
        <v>405</v>
      </c>
      <c r="BB71" s="1" t="s">
        <v>405</v>
      </c>
      <c r="BC71" s="1" t="s">
        <v>405</v>
      </c>
      <c r="BD71" s="1" t="s">
        <v>405</v>
      </c>
    </row>
    <row r="72" spans="1:56" x14ac:dyDescent="0.25">
      <c r="A72" s="1">
        <v>8</v>
      </c>
      <c r="B72" s="1" t="s">
        <v>245</v>
      </c>
      <c r="C72" s="7" t="s">
        <v>639</v>
      </c>
      <c r="D72" s="1" t="s">
        <v>289</v>
      </c>
      <c r="E72" s="1" t="s">
        <v>590</v>
      </c>
      <c r="F72" s="7" t="s">
        <v>630</v>
      </c>
      <c r="G72" s="7" t="s">
        <v>584</v>
      </c>
      <c r="H72" s="10">
        <v>24170544</v>
      </c>
      <c r="I72" s="10">
        <v>499382</v>
      </c>
      <c r="J72" s="10">
        <v>10291142</v>
      </c>
      <c r="K72" s="10">
        <v>6833780</v>
      </c>
      <c r="L72" s="10">
        <v>1974337</v>
      </c>
      <c r="M72" s="10">
        <v>1398485</v>
      </c>
      <c r="N72" s="10">
        <v>0</v>
      </c>
      <c r="O72" s="10">
        <v>23155839</v>
      </c>
      <c r="P72" s="23">
        <v>0.11</v>
      </c>
      <c r="Q72" s="10">
        <f>6190535+40323</f>
        <v>6230858</v>
      </c>
      <c r="R72" s="27">
        <f>1100124/16924981</f>
        <v>6.5000013884801408E-2</v>
      </c>
      <c r="S72" s="10">
        <v>1100071</v>
      </c>
      <c r="T72" s="10">
        <v>0</v>
      </c>
      <c r="U72" s="10">
        <f>82514+6750+2917</f>
        <v>92181</v>
      </c>
      <c r="V72" s="10">
        <v>488245</v>
      </c>
      <c r="W72" s="10">
        <v>40522</v>
      </c>
      <c r="X72" s="10">
        <v>132638</v>
      </c>
      <c r="Y72" s="10">
        <f>60000+12691</f>
        <v>72691</v>
      </c>
      <c r="Z72" s="10">
        <v>0</v>
      </c>
      <c r="AA72" s="10">
        <v>18671</v>
      </c>
      <c r="AB72" s="10">
        <v>0</v>
      </c>
      <c r="AC72" s="10">
        <f>12848+40594+25937</f>
        <v>79379</v>
      </c>
      <c r="AD72" s="10">
        <v>8743</v>
      </c>
      <c r="AE72" s="10">
        <v>19759</v>
      </c>
      <c r="AF72" s="10">
        <v>137635</v>
      </c>
      <c r="AG72" s="10">
        <v>4259</v>
      </c>
      <c r="AH72" s="10">
        <v>1054736</v>
      </c>
      <c r="AI72" s="10">
        <v>1080136</v>
      </c>
      <c r="AJ72" s="23">
        <f t="shared" si="7"/>
        <v>4.0379772758301607E-3</v>
      </c>
      <c r="AK72" s="10">
        <v>141119</v>
      </c>
      <c r="AL72" s="10">
        <v>26</v>
      </c>
      <c r="AM72" s="10">
        <v>126473</v>
      </c>
      <c r="AN72" s="10">
        <v>0</v>
      </c>
      <c r="AO72" s="10">
        <v>156420</v>
      </c>
      <c r="AP72" s="10">
        <v>0</v>
      </c>
      <c r="AQ72" s="10">
        <v>0</v>
      </c>
      <c r="AR72" s="10">
        <v>0</v>
      </c>
      <c r="AS72" s="10">
        <v>5905</v>
      </c>
      <c r="AT72" s="10">
        <v>3711</v>
      </c>
      <c r="AU72" s="10">
        <v>-183</v>
      </c>
      <c r="AV72" s="10">
        <v>-1986</v>
      </c>
      <c r="AW72" s="10">
        <v>-752</v>
      </c>
      <c r="AX72" s="10">
        <v>4</v>
      </c>
      <c r="AY72" s="10">
        <f t="shared" si="8"/>
        <v>6699</v>
      </c>
      <c r="AZ72" s="1">
        <v>34</v>
      </c>
      <c r="BA72" s="1">
        <v>241</v>
      </c>
      <c r="BB72" s="1">
        <v>68</v>
      </c>
      <c r="BC72" s="1">
        <v>453</v>
      </c>
      <c r="BD72" s="1">
        <v>0</v>
      </c>
    </row>
    <row r="73" spans="1:56" x14ac:dyDescent="0.25">
      <c r="A73" s="1">
        <v>8</v>
      </c>
      <c r="B73" s="1" t="s">
        <v>263</v>
      </c>
      <c r="C73" s="7" t="s">
        <v>258</v>
      </c>
      <c r="D73" s="1" t="s">
        <v>408</v>
      </c>
      <c r="E73" s="1" t="s">
        <v>590</v>
      </c>
      <c r="F73" s="7" t="s">
        <v>382</v>
      </c>
      <c r="G73" s="7" t="s">
        <v>584</v>
      </c>
      <c r="H73" s="10">
        <v>66482344</v>
      </c>
      <c r="I73" s="10">
        <v>2030913</v>
      </c>
      <c r="J73" s="10">
        <v>41827634</v>
      </c>
      <c r="K73" s="10">
        <v>4225659</v>
      </c>
      <c r="L73" s="10">
        <v>11886035</v>
      </c>
      <c r="M73" s="10">
        <v>3685522</v>
      </c>
      <c r="N73" s="10">
        <v>5302</v>
      </c>
      <c r="O73" s="10">
        <v>64272534</v>
      </c>
      <c r="P73" s="23">
        <v>0.02</v>
      </c>
      <c r="Q73" s="10">
        <v>18634769</v>
      </c>
      <c r="R73" s="27">
        <f>1954422/45632463</f>
        <v>4.2829640819519212E-2</v>
      </c>
      <c r="S73" s="10">
        <v>1954089</v>
      </c>
      <c r="T73" s="10">
        <v>0</v>
      </c>
      <c r="U73" s="10">
        <f>186590+8823</f>
        <v>195413</v>
      </c>
      <c r="V73" s="10">
        <v>1106703</v>
      </c>
      <c r="W73" s="10">
        <v>81115</v>
      </c>
      <c r="X73" s="10">
        <v>265705</v>
      </c>
      <c r="Y73" s="10">
        <v>175520</v>
      </c>
      <c r="Z73" s="10">
        <v>0</v>
      </c>
      <c r="AA73" s="10">
        <v>19052</v>
      </c>
      <c r="AB73" s="10">
        <v>11744</v>
      </c>
      <c r="AC73" s="10">
        <f>26971+89339+44826</f>
        <v>161136</v>
      </c>
      <c r="AD73" s="10">
        <v>18787</v>
      </c>
      <c r="AE73" s="10">
        <v>10361</v>
      </c>
      <c r="AF73" s="10">
        <v>42840</v>
      </c>
      <c r="AG73" s="10">
        <v>19778</v>
      </c>
      <c r="AH73" s="10">
        <v>2019890</v>
      </c>
      <c r="AI73" s="10">
        <v>2411645</v>
      </c>
      <c r="AJ73" s="23">
        <f t="shared" si="7"/>
        <v>9.791622316066716E-3</v>
      </c>
      <c r="AK73" s="10">
        <v>150700</v>
      </c>
      <c r="AL73" s="10">
        <v>0</v>
      </c>
      <c r="AM73" s="10">
        <v>125988</v>
      </c>
      <c r="AN73" s="10">
        <v>0</v>
      </c>
      <c r="AO73" s="10">
        <v>344426</v>
      </c>
      <c r="AP73" s="10">
        <v>0</v>
      </c>
      <c r="AQ73" s="10">
        <v>0</v>
      </c>
      <c r="AR73" s="10">
        <v>0</v>
      </c>
      <c r="AS73" s="10">
        <v>6298</v>
      </c>
      <c r="AT73" s="10">
        <v>5174</v>
      </c>
      <c r="AU73" s="10">
        <v>-858</v>
      </c>
      <c r="AV73" s="10">
        <v>-2188</v>
      </c>
      <c r="AW73" s="10">
        <v>-1744</v>
      </c>
      <c r="AX73" s="10">
        <v>6339</v>
      </c>
      <c r="AY73" s="10">
        <f t="shared" si="8"/>
        <v>13021</v>
      </c>
      <c r="AZ73" s="1">
        <v>65</v>
      </c>
      <c r="BA73" s="1">
        <v>1177</v>
      </c>
      <c r="BB73" s="1">
        <v>238</v>
      </c>
      <c r="BC73" s="1">
        <v>587</v>
      </c>
      <c r="BD73" s="1">
        <v>0</v>
      </c>
    </row>
    <row r="74" spans="1:56" x14ac:dyDescent="0.25">
      <c r="A74" s="1">
        <v>8</v>
      </c>
      <c r="B74" s="1" t="s">
        <v>307</v>
      </c>
      <c r="C74" s="7" t="s">
        <v>246</v>
      </c>
      <c r="D74" s="1" t="s">
        <v>311</v>
      </c>
      <c r="E74" s="1" t="s">
        <v>590</v>
      </c>
      <c r="F74" s="7" t="s">
        <v>188</v>
      </c>
      <c r="G74" s="7" t="s">
        <v>584</v>
      </c>
      <c r="H74" s="10">
        <v>32467073</v>
      </c>
      <c r="I74" s="10">
        <v>801872</v>
      </c>
      <c r="J74" s="10">
        <v>19291631</v>
      </c>
      <c r="K74" s="10">
        <v>829990</v>
      </c>
      <c r="L74" s="10">
        <v>7593594</v>
      </c>
      <c r="M74" s="10">
        <v>2133944</v>
      </c>
      <c r="N74" s="10">
        <v>0</v>
      </c>
      <c r="O74" s="10">
        <v>31421418</v>
      </c>
      <c r="P74" s="23">
        <v>5.0500000000000003E-2</v>
      </c>
      <c r="Q74" s="10">
        <v>7051533</v>
      </c>
      <c r="R74" s="27">
        <f>1157570/24369885</f>
        <v>4.7500018978341503E-2</v>
      </c>
      <c r="S74" s="10">
        <v>1159411</v>
      </c>
      <c r="T74" s="10">
        <v>0</v>
      </c>
      <c r="U74" s="10">
        <f>66188+3484</f>
        <v>69672</v>
      </c>
      <c r="V74" s="10">
        <v>411142</v>
      </c>
      <c r="W74" s="10">
        <v>35228</v>
      </c>
      <c r="X74" s="10">
        <v>66916</v>
      </c>
      <c r="Y74" s="10">
        <v>67193</v>
      </c>
      <c r="Z74" s="10">
        <v>0</v>
      </c>
      <c r="AA74" s="10">
        <v>265155</v>
      </c>
      <c r="AB74" s="10">
        <v>5980</v>
      </c>
      <c r="AC74" s="10">
        <f>23017+47010+39714</f>
        <v>109741</v>
      </c>
      <c r="AD74" s="10">
        <v>7474</v>
      </c>
      <c r="AE74" s="10">
        <v>0</v>
      </c>
      <c r="AF74" s="10">
        <v>61295</v>
      </c>
      <c r="AG74" s="10">
        <v>0</v>
      </c>
      <c r="AH74" s="10">
        <v>1086626</v>
      </c>
      <c r="AI74" s="10">
        <v>1104616</v>
      </c>
      <c r="AJ74" s="23">
        <f t="shared" si="7"/>
        <v>0</v>
      </c>
      <c r="AK74" s="10">
        <v>20078</v>
      </c>
      <c r="AL74" s="10">
        <v>0</v>
      </c>
      <c r="AM74" s="10">
        <v>126473</v>
      </c>
      <c r="AN74" s="10">
        <v>0</v>
      </c>
      <c r="AO74" s="10">
        <v>161630</v>
      </c>
      <c r="AP74" s="10">
        <v>0</v>
      </c>
      <c r="AQ74" s="10">
        <v>0</v>
      </c>
      <c r="AR74" s="10">
        <v>0</v>
      </c>
      <c r="AS74" s="10">
        <v>6022</v>
      </c>
      <c r="AT74" s="10">
        <v>3346</v>
      </c>
      <c r="AU74" s="10">
        <v>-266</v>
      </c>
      <c r="AV74" s="10">
        <v>-1570</v>
      </c>
      <c r="AW74" s="10">
        <v>-938</v>
      </c>
      <c r="AX74" s="10">
        <v>-344</v>
      </c>
      <c r="AY74" s="10">
        <f t="shared" si="8"/>
        <v>6250</v>
      </c>
      <c r="AZ74" s="1">
        <v>23</v>
      </c>
      <c r="BA74" s="1" t="s">
        <v>405</v>
      </c>
      <c r="BB74" s="1" t="s">
        <v>405</v>
      </c>
      <c r="BC74" s="1" t="s">
        <v>405</v>
      </c>
      <c r="BD74" s="1" t="s">
        <v>405</v>
      </c>
    </row>
    <row r="75" spans="1:56" x14ac:dyDescent="0.25">
      <c r="A75" s="1">
        <v>8</v>
      </c>
      <c r="B75" s="1" t="s">
        <v>330</v>
      </c>
      <c r="C75" s="7" t="s">
        <v>639</v>
      </c>
      <c r="D75" s="1" t="s">
        <v>344</v>
      </c>
      <c r="E75" s="1" t="s">
        <v>315</v>
      </c>
      <c r="F75" s="7" t="s">
        <v>630</v>
      </c>
      <c r="G75" s="7" t="s">
        <v>306</v>
      </c>
      <c r="H75" s="10">
        <v>17257273</v>
      </c>
      <c r="I75" s="10">
        <v>296075</v>
      </c>
      <c r="J75" s="10">
        <v>8235633</v>
      </c>
      <c r="K75" s="10">
        <v>740111</v>
      </c>
      <c r="L75" s="10">
        <v>5318160</v>
      </c>
      <c r="M75" s="10">
        <v>1773870</v>
      </c>
      <c r="N75" s="10">
        <v>0</v>
      </c>
      <c r="O75" s="10">
        <v>16676369</v>
      </c>
      <c r="P75" s="23">
        <v>0.13700000000000001</v>
      </c>
      <c r="Q75" s="10">
        <v>0</v>
      </c>
      <c r="R75" s="27">
        <f>462344/16676369</f>
        <v>2.7724500459302623E-2</v>
      </c>
      <c r="S75" s="10">
        <v>461379</v>
      </c>
      <c r="T75" s="10">
        <v>0</v>
      </c>
      <c r="U75" s="10">
        <f>88381+2826</f>
        <v>91207</v>
      </c>
      <c r="V75" s="10">
        <v>207346</v>
      </c>
      <c r="W75" s="10">
        <v>18215</v>
      </c>
      <c r="X75" s="10">
        <v>58723</v>
      </c>
      <c r="Y75" s="10">
        <v>39270</v>
      </c>
      <c r="Z75" s="10">
        <v>12272</v>
      </c>
      <c r="AA75" s="10">
        <v>24886</v>
      </c>
      <c r="AB75" s="10">
        <v>0</v>
      </c>
      <c r="AC75" s="10">
        <f>6412+15709+7938</f>
        <v>30059</v>
      </c>
      <c r="AD75" s="10">
        <v>3818</v>
      </c>
      <c r="AE75" s="10">
        <v>954</v>
      </c>
      <c r="AF75" s="10">
        <v>4028</v>
      </c>
      <c r="AG75" s="10">
        <v>29778</v>
      </c>
      <c r="AH75" s="10">
        <v>431041</v>
      </c>
      <c r="AI75" s="10">
        <v>442700</v>
      </c>
      <c r="AJ75" s="23">
        <f t="shared" si="7"/>
        <v>6.908391545119838E-2</v>
      </c>
      <c r="AK75" s="10">
        <v>63759</v>
      </c>
      <c r="AL75" s="10">
        <v>0</v>
      </c>
      <c r="AM75" s="10">
        <v>126473</v>
      </c>
      <c r="AN75" s="10">
        <v>0</v>
      </c>
      <c r="AO75" s="10">
        <v>58831</v>
      </c>
      <c r="AP75" s="10">
        <v>0</v>
      </c>
      <c r="AQ75" s="10">
        <v>0</v>
      </c>
      <c r="AR75" s="10">
        <v>0</v>
      </c>
      <c r="AS75" s="10">
        <v>4336</v>
      </c>
      <c r="AT75" s="10">
        <v>2373</v>
      </c>
      <c r="AU75" s="10">
        <v>-495</v>
      </c>
      <c r="AV75" s="10">
        <v>-787</v>
      </c>
      <c r="AW75" s="10">
        <v>-636</v>
      </c>
      <c r="AX75" s="10">
        <v>0</v>
      </c>
      <c r="AY75" s="10">
        <f t="shared" si="8"/>
        <v>4791</v>
      </c>
      <c r="AZ75" s="1">
        <v>27</v>
      </c>
      <c r="BA75" s="1">
        <v>35</v>
      </c>
      <c r="BB75" s="1">
        <v>14</v>
      </c>
      <c r="BC75" s="1">
        <v>8</v>
      </c>
      <c r="BD75" s="1">
        <v>0</v>
      </c>
    </row>
    <row r="76" spans="1:56" x14ac:dyDescent="0.25">
      <c r="A76" s="1">
        <v>8</v>
      </c>
      <c r="B76" s="1" t="s">
        <v>538</v>
      </c>
      <c r="C76" s="1" t="s">
        <v>578</v>
      </c>
      <c r="D76" s="1" t="s">
        <v>408</v>
      </c>
      <c r="E76" s="1" t="s">
        <v>590</v>
      </c>
      <c r="F76" s="7" t="s">
        <v>630</v>
      </c>
      <c r="G76" s="7" t="s">
        <v>584</v>
      </c>
      <c r="H76" s="10">
        <v>9154011</v>
      </c>
      <c r="I76" s="10">
        <v>312759</v>
      </c>
      <c r="J76" s="10">
        <v>5741236</v>
      </c>
      <c r="K76" s="10">
        <v>571223</v>
      </c>
      <c r="L76" s="10">
        <v>1735315</v>
      </c>
      <c r="M76" s="10">
        <v>519125</v>
      </c>
      <c r="N76" s="10">
        <v>325</v>
      </c>
      <c r="O76" s="10">
        <v>8959331</v>
      </c>
      <c r="P76" s="23">
        <v>0.05</v>
      </c>
      <c r="Q76" s="10">
        <v>2561930</v>
      </c>
      <c r="R76" s="27">
        <f>282430/6397076</f>
        <v>4.4149858466586922E-2</v>
      </c>
      <c r="S76" s="10">
        <v>281578</v>
      </c>
      <c r="T76" s="10">
        <v>0</v>
      </c>
      <c r="U76" s="10">
        <f>17103+8959</f>
        <v>26062</v>
      </c>
      <c r="V76" s="10">
        <v>159013</v>
      </c>
      <c r="W76" s="10">
        <v>13441</v>
      </c>
      <c r="X76" s="10">
        <v>20760</v>
      </c>
      <c r="Y76" s="10">
        <v>24244</v>
      </c>
      <c r="Z76" s="10">
        <v>0</v>
      </c>
      <c r="AA76" s="10">
        <v>4287</v>
      </c>
      <c r="AB76" s="10">
        <v>1875</v>
      </c>
      <c r="AC76" s="10">
        <f>4386+6589+5423</f>
        <v>16398</v>
      </c>
      <c r="AD76" s="10">
        <v>0</v>
      </c>
      <c r="AE76" s="10">
        <v>1549</v>
      </c>
      <c r="AF76" s="10">
        <v>60</v>
      </c>
      <c r="AG76" s="10">
        <v>2151</v>
      </c>
      <c r="AH76" s="10">
        <v>260564</v>
      </c>
      <c r="AI76" s="10">
        <v>1078012</v>
      </c>
      <c r="AJ76" s="23">
        <f t="shared" ref="AJ76:AJ107" si="9">AG76/AH76</f>
        <v>8.2551695552724094E-3</v>
      </c>
      <c r="AK76" s="10">
        <v>160631</v>
      </c>
      <c r="AL76" s="10">
        <v>0</v>
      </c>
      <c r="AM76" s="10">
        <v>31310</v>
      </c>
      <c r="AN76" s="10">
        <v>0</v>
      </c>
      <c r="AO76" s="10">
        <v>177342</v>
      </c>
      <c r="AP76" s="10">
        <v>0</v>
      </c>
      <c r="AQ76" s="10">
        <v>0</v>
      </c>
      <c r="AR76" s="10">
        <v>0</v>
      </c>
      <c r="AS76" s="10">
        <v>6363</v>
      </c>
      <c r="AT76" s="10">
        <v>781</v>
      </c>
      <c r="AU76" s="10">
        <v>-97</v>
      </c>
      <c r="AV76" s="10">
        <v>-434</v>
      </c>
      <c r="AW76" s="10">
        <v>-274</v>
      </c>
      <c r="AX76" s="10">
        <v>0</v>
      </c>
      <c r="AY76" s="10">
        <f t="shared" ref="AY76:AY107" si="10">SUM(AS76:AX76)</f>
        <v>6339</v>
      </c>
      <c r="AZ76" s="1">
        <v>69</v>
      </c>
      <c r="BA76" s="1" t="s">
        <v>405</v>
      </c>
      <c r="BB76" s="1" t="s">
        <v>405</v>
      </c>
      <c r="BC76" s="1" t="s">
        <v>405</v>
      </c>
      <c r="BD76" s="1" t="s">
        <v>405</v>
      </c>
    </row>
    <row r="77" spans="1:56" x14ac:dyDescent="0.25">
      <c r="A77" s="1">
        <v>8</v>
      </c>
      <c r="B77" s="1" t="s">
        <v>570</v>
      </c>
      <c r="C77" s="7" t="s">
        <v>234</v>
      </c>
      <c r="D77" s="1" t="s">
        <v>371</v>
      </c>
      <c r="E77" s="1" t="s">
        <v>590</v>
      </c>
      <c r="F77" s="7" t="s">
        <v>630</v>
      </c>
      <c r="G77" s="7" t="s">
        <v>584</v>
      </c>
      <c r="H77" s="10">
        <v>62426794</v>
      </c>
      <c r="I77" s="10">
        <v>1809510</v>
      </c>
      <c r="J77" s="10">
        <f>20101950+Q77</f>
        <v>42561324</v>
      </c>
      <c r="K77" s="10">
        <f>25682823-Q77</f>
        <v>3223449</v>
      </c>
      <c r="L77" s="10">
        <v>6514901</v>
      </c>
      <c r="M77" s="10">
        <v>2776761</v>
      </c>
      <c r="N77" s="10">
        <v>0</v>
      </c>
      <c r="O77" s="10">
        <v>59958177</v>
      </c>
      <c r="P77" s="23">
        <v>0.1</v>
      </c>
      <c r="Q77" s="10">
        <f>21749579+709795</f>
        <v>22459374</v>
      </c>
      <c r="R77" s="27">
        <f>1372688/37476018</f>
        <v>3.6628437951972376E-2</v>
      </c>
      <c r="S77" s="10">
        <v>1369568</v>
      </c>
      <c r="T77" s="10">
        <v>0</v>
      </c>
      <c r="U77" s="10">
        <f>207875+18792</f>
        <v>226667</v>
      </c>
      <c r="V77" s="10">
        <v>707158</v>
      </c>
      <c r="W77" s="10">
        <v>55343</v>
      </c>
      <c r="X77" s="10">
        <v>217355</v>
      </c>
      <c r="Y77" s="10">
        <v>149399</v>
      </c>
      <c r="Z77" s="10">
        <v>0</v>
      </c>
      <c r="AA77" s="10">
        <v>17298</v>
      </c>
      <c r="AB77" s="10">
        <v>0</v>
      </c>
      <c r="AC77" s="10">
        <f>15154+83415+61367</f>
        <v>159936</v>
      </c>
      <c r="AD77" s="10">
        <v>8940</v>
      </c>
      <c r="AE77" s="10">
        <v>0</v>
      </c>
      <c r="AF77" s="10">
        <v>50652</v>
      </c>
      <c r="AG77" s="10">
        <v>42805</v>
      </c>
      <c r="AH77" s="10">
        <v>1450666</v>
      </c>
      <c r="AI77" s="10">
        <v>1476350</v>
      </c>
      <c r="AJ77" s="23">
        <f t="shared" si="9"/>
        <v>2.9507136722029745E-2</v>
      </c>
      <c r="AK77" s="10">
        <v>155949</v>
      </c>
      <c r="AL77" s="10">
        <v>0</v>
      </c>
      <c r="AM77" s="10">
        <v>126473</v>
      </c>
      <c r="AN77" s="10">
        <v>0</v>
      </c>
      <c r="AO77" s="10">
        <v>119207</v>
      </c>
      <c r="AP77" s="10">
        <v>0</v>
      </c>
      <c r="AQ77" s="10">
        <v>0</v>
      </c>
      <c r="AR77" s="10">
        <v>0</v>
      </c>
      <c r="AS77" s="10">
        <v>12045</v>
      </c>
      <c r="AT77" s="10">
        <v>7400</v>
      </c>
      <c r="AU77" s="10">
        <v>-434</v>
      </c>
      <c r="AV77" s="10">
        <v>-4145</v>
      </c>
      <c r="AW77" s="10">
        <v>-1345</v>
      </c>
      <c r="AX77" s="10">
        <v>-5</v>
      </c>
      <c r="AY77" s="10">
        <f t="shared" si="10"/>
        <v>13516</v>
      </c>
      <c r="AZ77" s="1">
        <v>324</v>
      </c>
      <c r="BA77" s="1" t="s">
        <v>405</v>
      </c>
      <c r="BB77" s="1" t="s">
        <v>405</v>
      </c>
      <c r="BC77" s="1" t="s">
        <v>405</v>
      </c>
      <c r="BD77" s="1" t="s">
        <v>405</v>
      </c>
    </row>
    <row r="78" spans="1:56" x14ac:dyDescent="0.25">
      <c r="A78" s="1">
        <v>8</v>
      </c>
      <c r="B78" s="1" t="s">
        <v>571</v>
      </c>
      <c r="C78" s="7" t="s">
        <v>100</v>
      </c>
      <c r="D78" s="1" t="s">
        <v>116</v>
      </c>
      <c r="E78" s="1" t="s">
        <v>590</v>
      </c>
      <c r="F78" s="7" t="s">
        <v>188</v>
      </c>
      <c r="G78" s="7" t="s">
        <v>584</v>
      </c>
      <c r="H78" s="10">
        <v>53280839</v>
      </c>
      <c r="I78" s="10">
        <v>866027</v>
      </c>
      <c r="J78" s="10">
        <v>34293158</v>
      </c>
      <c r="K78" s="10">
        <v>1299490</v>
      </c>
      <c r="L78" s="10">
        <v>11164938</v>
      </c>
      <c r="M78" s="10">
        <v>2951025</v>
      </c>
      <c r="N78" s="10">
        <v>0</v>
      </c>
      <c r="O78" s="10">
        <v>51513580</v>
      </c>
      <c r="P78" s="23">
        <v>8.4400000000000003E-2</v>
      </c>
      <c r="Q78" s="10">
        <v>11428156</v>
      </c>
      <c r="R78" s="27">
        <f>1322819/40085424</f>
        <v>3.300000019957379E-2</v>
      </c>
      <c r="S78" s="10">
        <v>1322819</v>
      </c>
      <c r="T78" s="10">
        <v>0</v>
      </c>
      <c r="U78" s="10">
        <f>134116+2975</f>
        <v>137091</v>
      </c>
      <c r="V78" s="10">
        <v>584234</v>
      </c>
      <c r="W78" s="10">
        <v>47242</v>
      </c>
      <c r="X78" s="10">
        <v>78309</v>
      </c>
      <c r="Y78" s="10">
        <v>72060</v>
      </c>
      <c r="Z78" s="10">
        <v>12124</v>
      </c>
      <c r="AA78" s="10">
        <v>59930</v>
      </c>
      <c r="AB78" s="10">
        <v>36161</v>
      </c>
      <c r="AC78" s="10">
        <f>33460+58725+136005</f>
        <v>228190</v>
      </c>
      <c r="AD78" s="10">
        <v>12725</v>
      </c>
      <c r="AE78" s="10">
        <v>2033</v>
      </c>
      <c r="AF78" s="10">
        <v>95784</v>
      </c>
      <c r="AG78" s="10">
        <v>0</v>
      </c>
      <c r="AH78" s="10">
        <v>1306710</v>
      </c>
      <c r="AI78" s="10">
        <v>1342816</v>
      </c>
      <c r="AJ78" s="23">
        <f t="shared" si="9"/>
        <v>0</v>
      </c>
      <c r="AK78" s="10">
        <v>105864</v>
      </c>
      <c r="AL78" s="10">
        <v>0</v>
      </c>
      <c r="AM78" s="10">
        <v>126473</v>
      </c>
      <c r="AN78" s="10">
        <v>0</v>
      </c>
      <c r="AO78" s="10">
        <v>138557</v>
      </c>
      <c r="AP78" s="10">
        <v>0</v>
      </c>
      <c r="AQ78" s="10">
        <v>0</v>
      </c>
      <c r="AR78" s="10">
        <v>0</v>
      </c>
      <c r="AS78" s="10">
        <v>8977</v>
      </c>
      <c r="AT78" s="10">
        <v>6106</v>
      </c>
      <c r="AU78" s="10">
        <v>-941</v>
      </c>
      <c r="AV78" s="10">
        <v>-2237</v>
      </c>
      <c r="AW78" s="10">
        <v>-2417</v>
      </c>
      <c r="AX78" s="10">
        <v>-8</v>
      </c>
      <c r="AY78" s="10">
        <f t="shared" si="10"/>
        <v>9480</v>
      </c>
      <c r="AZ78" s="1">
        <v>332</v>
      </c>
      <c r="BA78" s="1" t="s">
        <v>405</v>
      </c>
      <c r="BB78" s="1" t="s">
        <v>405</v>
      </c>
      <c r="BC78" s="1" t="s">
        <v>405</v>
      </c>
      <c r="BD78" s="1" t="s">
        <v>405</v>
      </c>
    </row>
    <row r="79" spans="1:56" x14ac:dyDescent="0.25">
      <c r="A79" s="1">
        <v>8</v>
      </c>
      <c r="B79" s="1" t="s">
        <v>633</v>
      </c>
      <c r="C79" s="7" t="s">
        <v>548</v>
      </c>
      <c r="D79" s="1" t="s">
        <v>335</v>
      </c>
      <c r="E79" s="1" t="s">
        <v>315</v>
      </c>
      <c r="F79" s="7" t="s">
        <v>188</v>
      </c>
      <c r="G79" s="7" t="s">
        <v>306</v>
      </c>
      <c r="H79" s="10">
        <v>11279666</v>
      </c>
      <c r="I79" s="10">
        <v>283002</v>
      </c>
      <c r="J79" s="10">
        <v>5592334</v>
      </c>
      <c r="K79" s="10">
        <v>591159</v>
      </c>
      <c r="L79" s="10">
        <v>3297233</v>
      </c>
      <c r="M79" s="10">
        <v>468175</v>
      </c>
      <c r="N79" s="10">
        <v>1688</v>
      </c>
      <c r="O79" s="10">
        <v>10621885</v>
      </c>
      <c r="P79" s="23">
        <v>9.6000000000000002E-2</v>
      </c>
      <c r="Q79" s="10">
        <v>0</v>
      </c>
      <c r="R79" s="27">
        <f>644725/10327999</f>
        <v>6.2424967314578556E-2</v>
      </c>
      <c r="S79" s="10">
        <v>664350</v>
      </c>
      <c r="T79" s="10">
        <v>0</v>
      </c>
      <c r="U79" s="10">
        <f>51842+2636+1250</f>
        <v>55728</v>
      </c>
      <c r="V79" s="10">
        <v>313976</v>
      </c>
      <c r="W79" s="10">
        <v>26015</v>
      </c>
      <c r="X79" s="10">
        <v>78130</v>
      </c>
      <c r="Y79" s="10">
        <v>62935</v>
      </c>
      <c r="Z79" s="10">
        <v>3355</v>
      </c>
      <c r="AA79" s="10">
        <v>17811</v>
      </c>
      <c r="AB79" s="10">
        <v>0</v>
      </c>
      <c r="AC79" s="10">
        <f>10113+20019+19337</f>
        <v>49469</v>
      </c>
      <c r="AD79" s="10">
        <v>4891</v>
      </c>
      <c r="AE79" s="10">
        <v>903</v>
      </c>
      <c r="AF79" s="10">
        <v>5543</v>
      </c>
      <c r="AG79" s="10">
        <v>0</v>
      </c>
      <c r="AH79" s="10">
        <v>591285</v>
      </c>
      <c r="AI79" s="10">
        <v>596218</v>
      </c>
      <c r="AJ79" s="23">
        <f t="shared" si="9"/>
        <v>0</v>
      </c>
      <c r="AK79" s="10">
        <v>59354</v>
      </c>
      <c r="AL79" s="10">
        <v>0</v>
      </c>
      <c r="AM79" s="10">
        <v>126473</v>
      </c>
      <c r="AN79" s="10">
        <v>0</v>
      </c>
      <c r="AO79" s="10">
        <v>68317</v>
      </c>
      <c r="AP79" s="10">
        <v>0</v>
      </c>
      <c r="AQ79" s="10">
        <v>0</v>
      </c>
      <c r="AR79" s="10">
        <v>0</v>
      </c>
      <c r="AS79" s="10">
        <v>3469</v>
      </c>
      <c r="AT79" s="10">
        <v>1256</v>
      </c>
      <c r="AU79" s="10">
        <v>-189</v>
      </c>
      <c r="AV79" s="10">
        <v>-345</v>
      </c>
      <c r="AW79" s="10">
        <v>-239</v>
      </c>
      <c r="AX79" s="10">
        <v>0</v>
      </c>
      <c r="AY79" s="10">
        <f t="shared" si="10"/>
        <v>3952</v>
      </c>
      <c r="AZ79" s="1">
        <v>77</v>
      </c>
      <c r="BA79" s="1" t="s">
        <v>405</v>
      </c>
      <c r="BB79" s="1" t="s">
        <v>405</v>
      </c>
      <c r="BC79" s="1" t="s">
        <v>405</v>
      </c>
      <c r="BD79" s="1" t="s">
        <v>405</v>
      </c>
    </row>
    <row r="80" spans="1:56" x14ac:dyDescent="0.25">
      <c r="A80" s="1">
        <v>9</v>
      </c>
      <c r="B80" s="1" t="s">
        <v>67</v>
      </c>
      <c r="C80" s="7" t="s">
        <v>105</v>
      </c>
      <c r="D80" s="1" t="s">
        <v>216</v>
      </c>
      <c r="E80" s="1" t="s">
        <v>376</v>
      </c>
      <c r="F80" s="7" t="s">
        <v>188</v>
      </c>
      <c r="G80" s="7" t="s">
        <v>379</v>
      </c>
      <c r="H80" s="10">
        <v>10700575</v>
      </c>
      <c r="I80" s="10">
        <v>643633</v>
      </c>
      <c r="J80" s="10">
        <v>6330070</v>
      </c>
      <c r="K80" s="10">
        <v>489812</v>
      </c>
      <c r="L80" s="10">
        <v>1544860</v>
      </c>
      <c r="M80" s="10">
        <v>399761</v>
      </c>
      <c r="N80" s="10">
        <v>0</v>
      </c>
      <c r="O80" s="10">
        <v>9341828</v>
      </c>
      <c r="P80" s="23">
        <v>0.13</v>
      </c>
      <c r="Q80" s="10">
        <v>0</v>
      </c>
      <c r="R80" s="27">
        <f>569852/9341828</f>
        <v>6.1000052666351813E-2</v>
      </c>
      <c r="S80" s="10">
        <v>562974</v>
      </c>
      <c r="T80">
        <v>0</v>
      </c>
      <c r="U80" s="10">
        <f>65559+1548</f>
        <v>67107</v>
      </c>
      <c r="V80" s="10">
        <v>185180</v>
      </c>
      <c r="W80" s="10">
        <v>14697</v>
      </c>
      <c r="X80" s="10">
        <v>34555</v>
      </c>
      <c r="Y80" s="10">
        <f>25737+7383</f>
        <v>33120</v>
      </c>
      <c r="Z80" s="10">
        <v>11542</v>
      </c>
      <c r="AA80" s="10">
        <v>12269</v>
      </c>
      <c r="AB80" s="10">
        <v>279</v>
      </c>
      <c r="AC80" s="10">
        <f>10079+19413+22982</f>
        <v>52474</v>
      </c>
      <c r="AD80" s="10">
        <v>8475</v>
      </c>
      <c r="AE80" s="10">
        <v>0</v>
      </c>
      <c r="AF80" s="10">
        <v>28425</v>
      </c>
      <c r="AG80" s="10">
        <v>0</v>
      </c>
      <c r="AH80" s="10">
        <v>538137</v>
      </c>
      <c r="AI80" s="10">
        <v>550796</v>
      </c>
      <c r="AJ80" s="23">
        <f t="shared" si="9"/>
        <v>0</v>
      </c>
      <c r="AK80" s="10">
        <v>37407</v>
      </c>
      <c r="AL80" s="10">
        <v>0</v>
      </c>
      <c r="AM80" s="10">
        <v>126470</v>
      </c>
      <c r="AN80" s="10">
        <v>0</v>
      </c>
      <c r="AO80" s="10">
        <v>302</v>
      </c>
      <c r="AP80" s="10">
        <v>0</v>
      </c>
      <c r="AQ80" s="10">
        <v>0</v>
      </c>
      <c r="AR80" s="10">
        <v>0</v>
      </c>
      <c r="AS80" s="10">
        <v>1394</v>
      </c>
      <c r="AT80" s="10">
        <v>586</v>
      </c>
      <c r="AU80" s="10">
        <v>-117</v>
      </c>
      <c r="AV80" s="10">
        <v>-204</v>
      </c>
      <c r="AW80" s="10">
        <v>-297</v>
      </c>
      <c r="AX80" s="10">
        <f>1+10-2</f>
        <v>9</v>
      </c>
      <c r="AY80" s="10">
        <f t="shared" si="10"/>
        <v>1371</v>
      </c>
      <c r="AZ80" s="1">
        <v>1</v>
      </c>
      <c r="BA80" s="1">
        <v>138</v>
      </c>
      <c r="BB80" s="1">
        <v>42</v>
      </c>
      <c r="BC80" s="1">
        <v>92</v>
      </c>
      <c r="BD80" s="1">
        <v>14</v>
      </c>
    </row>
    <row r="81" spans="1:56" x14ac:dyDescent="0.25">
      <c r="A81" s="1">
        <v>9</v>
      </c>
      <c r="B81" s="1" t="s">
        <v>76</v>
      </c>
      <c r="C81" s="1" t="s">
        <v>296</v>
      </c>
      <c r="D81" s="1" t="s">
        <v>322</v>
      </c>
      <c r="E81" s="1" t="s">
        <v>376</v>
      </c>
      <c r="F81" s="7" t="s">
        <v>630</v>
      </c>
      <c r="G81" s="7" t="s">
        <v>379</v>
      </c>
      <c r="H81" s="10">
        <v>4332982</v>
      </c>
      <c r="I81" s="10">
        <v>93963</v>
      </c>
      <c r="J81" s="10">
        <v>2536582</v>
      </c>
      <c r="K81" s="10">
        <v>223882</v>
      </c>
      <c r="L81" s="10">
        <v>908399</v>
      </c>
      <c r="M81" s="10">
        <v>231370</v>
      </c>
      <c r="N81" s="10">
        <v>0</v>
      </c>
      <c r="O81" s="10">
        <v>4155223</v>
      </c>
      <c r="P81" s="23">
        <v>0.121</v>
      </c>
      <c r="Q81" s="10">
        <v>0</v>
      </c>
      <c r="R81" s="27">
        <f>245456/4155223</f>
        <v>5.9071679185449255E-2</v>
      </c>
      <c r="S81" s="10">
        <v>245433</v>
      </c>
      <c r="T81" s="10">
        <v>0</v>
      </c>
      <c r="U81" s="10">
        <f>7227+297</f>
        <v>7524</v>
      </c>
      <c r="V81" s="10">
        <v>49989</v>
      </c>
      <c r="W81" s="10">
        <v>3973</v>
      </c>
      <c r="X81" s="10">
        <v>4999</v>
      </c>
      <c r="Y81" s="10">
        <v>13293</v>
      </c>
      <c r="Z81" s="10">
        <v>6350</v>
      </c>
      <c r="AA81" s="10">
        <v>3549</v>
      </c>
      <c r="AB81" s="10">
        <v>0</v>
      </c>
      <c r="AC81" s="10">
        <f>1104+6295+5998</f>
        <v>13397</v>
      </c>
      <c r="AD81" s="10">
        <v>3015</v>
      </c>
      <c r="AE81" s="10">
        <v>1028</v>
      </c>
      <c r="AF81" s="10">
        <v>9232</v>
      </c>
      <c r="AG81" s="10">
        <v>0</v>
      </c>
      <c r="AH81" s="10">
        <v>129227</v>
      </c>
      <c r="AI81" s="10">
        <v>129183</v>
      </c>
      <c r="AJ81" s="23">
        <f t="shared" si="9"/>
        <v>0</v>
      </c>
      <c r="AK81" s="10">
        <v>11648</v>
      </c>
      <c r="AL81" s="10">
        <v>0</v>
      </c>
      <c r="AM81" s="10">
        <v>126473</v>
      </c>
      <c r="AN81" s="10">
        <v>0</v>
      </c>
      <c r="AO81" s="10">
        <v>11396</v>
      </c>
      <c r="AP81" s="10">
        <v>0</v>
      </c>
      <c r="AQ81" s="10">
        <v>0</v>
      </c>
      <c r="AR81" s="10">
        <v>0</v>
      </c>
      <c r="AS81" s="10">
        <v>562</v>
      </c>
      <c r="AT81" s="10">
        <v>296</v>
      </c>
      <c r="AU81" s="10">
        <v>-33</v>
      </c>
      <c r="AV81" s="10">
        <v>-55</v>
      </c>
      <c r="AW81" s="10">
        <v>-88</v>
      </c>
      <c r="AX81" s="10">
        <v>0</v>
      </c>
      <c r="AY81" s="10">
        <f t="shared" si="10"/>
        <v>682</v>
      </c>
      <c r="AZ81" s="1">
        <v>7</v>
      </c>
      <c r="BA81" s="1">
        <v>43</v>
      </c>
      <c r="BB81" s="1">
        <v>11</v>
      </c>
      <c r="BC81" s="1">
        <v>34</v>
      </c>
      <c r="BD81" s="1">
        <v>0</v>
      </c>
    </row>
    <row r="82" spans="1:56" x14ac:dyDescent="0.25">
      <c r="A82" s="1">
        <v>9</v>
      </c>
      <c r="B82" s="1" t="s">
        <v>97</v>
      </c>
      <c r="C82" s="7" t="s">
        <v>357</v>
      </c>
      <c r="D82" s="1" t="s">
        <v>122</v>
      </c>
      <c r="E82" s="1" t="s">
        <v>441</v>
      </c>
      <c r="F82" s="7" t="s">
        <v>557</v>
      </c>
      <c r="G82" s="7" t="s">
        <v>442</v>
      </c>
      <c r="H82" s="10">
        <v>12550098</v>
      </c>
      <c r="I82" s="10">
        <v>497377</v>
      </c>
      <c r="J82" s="10">
        <v>5386697</v>
      </c>
      <c r="K82" s="10">
        <v>949083</v>
      </c>
      <c r="L82" s="10">
        <v>4134665</v>
      </c>
      <c r="M82" s="10">
        <v>660132</v>
      </c>
      <c r="N82" s="10">
        <v>2750</v>
      </c>
      <c r="O82" s="10">
        <v>11831404</v>
      </c>
      <c r="P82" s="23">
        <v>4.8399999999999999E-2</v>
      </c>
      <c r="Q82" s="10">
        <v>0</v>
      </c>
      <c r="R82" s="27">
        <f>672793/11803365</f>
        <v>5.7000101242315221E-2</v>
      </c>
      <c r="S82" s="10">
        <v>672788</v>
      </c>
      <c r="T82" s="10">
        <v>0</v>
      </c>
      <c r="U82" s="10">
        <f>15435+127</f>
        <v>15562</v>
      </c>
      <c r="V82" s="10">
        <v>280799</v>
      </c>
      <c r="W82" s="10">
        <v>22543</v>
      </c>
      <c r="X82" s="10">
        <v>62660</v>
      </c>
      <c r="Y82" s="10">
        <f>36605+5935</f>
        <v>42540</v>
      </c>
      <c r="Z82" s="10">
        <v>1554</v>
      </c>
      <c r="AA82" s="10">
        <v>18123</v>
      </c>
      <c r="AB82" s="10">
        <v>0</v>
      </c>
      <c r="AC82" s="10">
        <f>9459+31448+17263</f>
        <v>58170</v>
      </c>
      <c r="AD82" s="10">
        <v>8031</v>
      </c>
      <c r="AE82" s="10">
        <v>3195</v>
      </c>
      <c r="AF82" s="10">
        <v>9858</v>
      </c>
      <c r="AG82" s="10">
        <v>0</v>
      </c>
      <c r="AH82" s="10">
        <v>551668</v>
      </c>
      <c r="AI82" s="10">
        <v>553652</v>
      </c>
      <c r="AJ82" s="23">
        <f t="shared" si="9"/>
        <v>0</v>
      </c>
      <c r="AK82" s="10">
        <v>55449</v>
      </c>
      <c r="AL82" s="10">
        <v>0</v>
      </c>
      <c r="AM82" s="10">
        <v>126473</v>
      </c>
      <c r="AN82" s="10">
        <v>0</v>
      </c>
      <c r="AO82" s="10">
        <v>89362</v>
      </c>
      <c r="AP82" s="10">
        <v>0</v>
      </c>
      <c r="AQ82" s="10">
        <v>0</v>
      </c>
      <c r="AR82" s="10">
        <v>0</v>
      </c>
      <c r="AS82" s="10">
        <v>2716</v>
      </c>
      <c r="AT82" s="10">
        <v>1391</v>
      </c>
      <c r="AU82" s="10">
        <v>-187</v>
      </c>
      <c r="AV82" s="10">
        <v>-473</v>
      </c>
      <c r="AW82" s="10">
        <v>-599</v>
      </c>
      <c r="AX82" s="10">
        <v>0</v>
      </c>
      <c r="AY82" s="10">
        <f t="shared" si="10"/>
        <v>2848</v>
      </c>
      <c r="AZ82" s="1">
        <v>6</v>
      </c>
      <c r="BA82" s="1">
        <v>450</v>
      </c>
      <c r="BB82" s="1">
        <v>70</v>
      </c>
      <c r="BC82" s="1">
        <v>59</v>
      </c>
      <c r="BD82" s="1">
        <v>0</v>
      </c>
    </row>
    <row r="83" spans="1:56" x14ac:dyDescent="0.25">
      <c r="A83" s="1">
        <v>9</v>
      </c>
      <c r="B83" s="1" t="s">
        <v>121</v>
      </c>
      <c r="C83" s="1" t="s">
        <v>299</v>
      </c>
      <c r="D83" s="1" t="s">
        <v>300</v>
      </c>
      <c r="E83" s="1" t="s">
        <v>376</v>
      </c>
      <c r="F83" s="7" t="s">
        <v>630</v>
      </c>
      <c r="G83" s="7" t="s">
        <v>379</v>
      </c>
      <c r="H83" s="10">
        <v>8030914</v>
      </c>
      <c r="I83" s="10">
        <v>392667</v>
      </c>
      <c r="J83" s="10">
        <v>4183703</v>
      </c>
      <c r="K83" s="10">
        <v>414725</v>
      </c>
      <c r="L83" s="10">
        <v>1874171</v>
      </c>
      <c r="M83" s="10">
        <v>473625</v>
      </c>
      <c r="N83" s="10">
        <v>0</v>
      </c>
      <c r="O83" s="10">
        <v>7432404</v>
      </c>
      <c r="P83" s="23">
        <v>0.15325</v>
      </c>
      <c r="Q83" s="10">
        <v>0</v>
      </c>
      <c r="R83" s="27">
        <f>431079/7432404</f>
        <v>5.7999941876141284E-2</v>
      </c>
      <c r="S83" s="10">
        <v>429901</v>
      </c>
      <c r="T83" s="10">
        <v>0</v>
      </c>
      <c r="U83" s="10">
        <f>46495+915</f>
        <v>47410</v>
      </c>
      <c r="V83" s="10">
        <v>159922</v>
      </c>
      <c r="W83" s="10">
        <v>15432</v>
      </c>
      <c r="X83" s="10">
        <v>18056</v>
      </c>
      <c r="Y83" s="10">
        <f>23114+3063</f>
        <v>26177</v>
      </c>
      <c r="Z83" s="10">
        <v>7360</v>
      </c>
      <c r="AA83" s="10">
        <v>17284</v>
      </c>
      <c r="AB83" s="10">
        <v>0</v>
      </c>
      <c r="AC83" s="10">
        <f>5810+9213+7244</f>
        <v>22267</v>
      </c>
      <c r="AD83" s="10">
        <v>7075</v>
      </c>
      <c r="AE83" s="10">
        <v>0</v>
      </c>
      <c r="AF83" s="10">
        <v>33302</v>
      </c>
      <c r="AG83" s="10">
        <v>34126</v>
      </c>
      <c r="AH83" s="10">
        <v>336096</v>
      </c>
      <c r="AI83" s="10">
        <v>336133</v>
      </c>
      <c r="AJ83" s="23">
        <f t="shared" si="9"/>
        <v>0.10153646577168428</v>
      </c>
      <c r="AK83" s="10">
        <v>40385</v>
      </c>
      <c r="AL83" s="10">
        <v>0</v>
      </c>
      <c r="AM83" s="10">
        <v>126473</v>
      </c>
      <c r="AN83" s="10">
        <v>0</v>
      </c>
      <c r="AO83" s="10">
        <v>55127</v>
      </c>
      <c r="AP83" s="10">
        <v>0</v>
      </c>
      <c r="AQ83" s="10">
        <v>0</v>
      </c>
      <c r="AR83" s="10">
        <v>0</v>
      </c>
      <c r="AS83" s="10">
        <v>1286</v>
      </c>
      <c r="AT83" s="10">
        <v>625</v>
      </c>
      <c r="AU83" s="10">
        <v>-104</v>
      </c>
      <c r="AV83" s="10">
        <v>-278</v>
      </c>
      <c r="AW83" s="10">
        <v>-236</v>
      </c>
      <c r="AX83" s="10">
        <v>12</v>
      </c>
      <c r="AY83" s="10">
        <f t="shared" si="10"/>
        <v>1305</v>
      </c>
      <c r="AZ83" s="1">
        <v>9</v>
      </c>
      <c r="BA83" s="1">
        <v>159</v>
      </c>
      <c r="BB83" s="1">
        <v>19</v>
      </c>
      <c r="BC83" s="1">
        <v>48</v>
      </c>
      <c r="BD83" s="1">
        <v>0</v>
      </c>
    </row>
    <row r="84" spans="1:56" x14ac:dyDescent="0.25">
      <c r="A84" s="1">
        <v>9</v>
      </c>
      <c r="B84" s="1" t="s">
        <v>174</v>
      </c>
      <c r="C84" s="7" t="s">
        <v>42</v>
      </c>
      <c r="D84" s="1" t="s">
        <v>595</v>
      </c>
      <c r="E84" s="1" t="s">
        <v>441</v>
      </c>
      <c r="F84" s="7" t="s">
        <v>429</v>
      </c>
      <c r="G84" s="7" t="s">
        <v>442</v>
      </c>
      <c r="H84" s="10">
        <v>3964885</v>
      </c>
      <c r="I84" s="10">
        <v>129565</v>
      </c>
      <c r="J84" s="10">
        <v>1304775</v>
      </c>
      <c r="K84" s="10">
        <v>462342</v>
      </c>
      <c r="L84" s="10">
        <v>1548884</v>
      </c>
      <c r="M84" s="10">
        <v>99294</v>
      </c>
      <c r="N84" s="10">
        <v>0</v>
      </c>
      <c r="O84" s="10">
        <v>3794734</v>
      </c>
      <c r="P84" s="23">
        <v>0.12</v>
      </c>
      <c r="Q84" s="10">
        <v>0</v>
      </c>
      <c r="R84" s="27">
        <f>379473/3794734</f>
        <v>9.9999894590767094E-2</v>
      </c>
      <c r="S84" s="10">
        <v>3794734</v>
      </c>
      <c r="T84" s="10">
        <v>0</v>
      </c>
      <c r="U84" s="10">
        <f>9919+470</f>
        <v>10389</v>
      </c>
      <c r="V84" s="10">
        <v>118577</v>
      </c>
      <c r="W84" s="10">
        <v>9404</v>
      </c>
      <c r="X84" s="10">
        <v>18388</v>
      </c>
      <c r="Y84" s="10">
        <f>16626+1394</f>
        <v>18020</v>
      </c>
      <c r="Z84" s="10">
        <v>6835</v>
      </c>
      <c r="AA84" s="10">
        <v>35592</v>
      </c>
      <c r="AB84" s="10">
        <v>0</v>
      </c>
      <c r="AC84" s="10">
        <f>7905+13363+3030</f>
        <v>24298</v>
      </c>
      <c r="AD84" s="10">
        <v>2381</v>
      </c>
      <c r="AE84" s="10">
        <v>683</v>
      </c>
      <c r="AF84" s="10">
        <v>42</v>
      </c>
      <c r="AG84" s="10">
        <v>0</v>
      </c>
      <c r="AH84" s="10">
        <v>259667</v>
      </c>
      <c r="AI84" s="10">
        <v>265937</v>
      </c>
      <c r="AJ84" s="23">
        <f t="shared" si="9"/>
        <v>0</v>
      </c>
      <c r="AK84" s="10">
        <v>20649</v>
      </c>
      <c r="AL84" s="10">
        <v>0</v>
      </c>
      <c r="AM84" s="10">
        <v>126473</v>
      </c>
      <c r="AN84" s="10">
        <v>0</v>
      </c>
      <c r="AO84" s="10">
        <v>24337</v>
      </c>
      <c r="AP84" s="10">
        <v>0</v>
      </c>
      <c r="AQ84" s="10">
        <v>0</v>
      </c>
      <c r="AR84" s="10">
        <v>0</v>
      </c>
      <c r="AS84" s="10">
        <v>762</v>
      </c>
      <c r="AT84" s="10">
        <v>389</v>
      </c>
      <c r="AU84" s="10">
        <v>-83</v>
      </c>
      <c r="AV84" s="10">
        <f>-109-192</f>
        <v>-301</v>
      </c>
      <c r="AW84" s="10"/>
      <c r="AX84" s="10">
        <f>9-1</f>
        <v>8</v>
      </c>
      <c r="AY84" s="10">
        <f t="shared" si="10"/>
        <v>775</v>
      </c>
      <c r="AZ84" s="1">
        <v>12</v>
      </c>
      <c r="BA84" s="1" t="s">
        <v>406</v>
      </c>
      <c r="BB84" s="1" t="s">
        <v>406</v>
      </c>
      <c r="BC84" s="1" t="s">
        <v>406</v>
      </c>
      <c r="BD84" s="1" t="s">
        <v>406</v>
      </c>
    </row>
    <row r="85" spans="1:56" x14ac:dyDescent="0.25">
      <c r="A85" s="1">
        <v>9</v>
      </c>
      <c r="B85" s="1" t="s">
        <v>229</v>
      </c>
      <c r="C85" s="7" t="s">
        <v>378</v>
      </c>
      <c r="D85" s="1" t="s">
        <v>651</v>
      </c>
      <c r="E85" s="1" t="s">
        <v>441</v>
      </c>
      <c r="F85" s="7" t="s">
        <v>429</v>
      </c>
      <c r="G85" s="7" t="s">
        <v>442</v>
      </c>
      <c r="H85" s="10">
        <v>4724915</v>
      </c>
      <c r="I85" s="10">
        <v>211332</v>
      </c>
      <c r="J85" s="10">
        <v>2183913</v>
      </c>
      <c r="K85" s="10">
        <v>348317</v>
      </c>
      <c r="L85" s="10">
        <v>1149439</v>
      </c>
      <c r="M85" s="10">
        <v>311692</v>
      </c>
      <c r="N85" s="10">
        <v>0</v>
      </c>
      <c r="O85" s="10">
        <v>4455199</v>
      </c>
      <c r="P85" s="23">
        <v>6.8699999999999997E-2</v>
      </c>
      <c r="Q85" s="10">
        <v>0</v>
      </c>
      <c r="R85" s="27">
        <f>412548/4433564</f>
        <v>9.3051098393978293E-2</v>
      </c>
      <c r="S85" s="10">
        <v>412560</v>
      </c>
      <c r="T85" s="10">
        <v>0</v>
      </c>
      <c r="U85" s="10">
        <f>17732+5721+589</f>
        <v>24042</v>
      </c>
      <c r="V85" s="10">
        <v>133043</v>
      </c>
      <c r="W85" s="10">
        <v>10834</v>
      </c>
      <c r="X85" s="10">
        <v>13330</v>
      </c>
      <c r="Y85" s="10">
        <f>26966+3658</f>
        <v>30624</v>
      </c>
      <c r="Z85" s="10">
        <v>0</v>
      </c>
      <c r="AA85" s="10">
        <v>50497</v>
      </c>
      <c r="AB85" s="10">
        <v>0</v>
      </c>
      <c r="AC85" s="10">
        <f>1536+11197+7763</f>
        <v>20496</v>
      </c>
      <c r="AD85" s="10">
        <v>4886</v>
      </c>
      <c r="AE85" s="10">
        <v>0</v>
      </c>
      <c r="AF85" s="10">
        <v>686</v>
      </c>
      <c r="AG85" s="10">
        <v>216156</v>
      </c>
      <c r="AH85" s="10">
        <v>296033</v>
      </c>
      <c r="AI85" s="10">
        <v>292368</v>
      </c>
      <c r="AJ85" s="23">
        <f t="shared" si="9"/>
        <v>0.73017535207223516</v>
      </c>
      <c r="AK85" s="10">
        <v>35631</v>
      </c>
      <c r="AL85" s="10">
        <v>0</v>
      </c>
      <c r="AM85" s="10">
        <v>126473</v>
      </c>
      <c r="AN85" s="10">
        <v>0</v>
      </c>
      <c r="AO85" s="10">
        <v>49727</v>
      </c>
      <c r="AP85" s="10">
        <v>0</v>
      </c>
      <c r="AQ85" s="10">
        <v>0</v>
      </c>
      <c r="AR85" s="10">
        <v>0</v>
      </c>
      <c r="AS85" s="10">
        <v>1117</v>
      </c>
      <c r="AT85" s="10">
        <v>590</v>
      </c>
      <c r="AU85" s="10">
        <v>-101</v>
      </c>
      <c r="AV85" s="10">
        <v>-173</v>
      </c>
      <c r="AW85" s="10">
        <v>-233</v>
      </c>
      <c r="AX85" s="10">
        <f>1+8</f>
        <v>9</v>
      </c>
      <c r="AY85" s="10">
        <f t="shared" si="10"/>
        <v>1209</v>
      </c>
      <c r="AZ85" s="1">
        <v>13</v>
      </c>
      <c r="BA85" s="1">
        <v>25</v>
      </c>
      <c r="BB85" s="1">
        <v>10</v>
      </c>
      <c r="BC85" s="1">
        <v>65</v>
      </c>
      <c r="BD85" s="1">
        <v>0</v>
      </c>
    </row>
    <row r="86" spans="1:56" x14ac:dyDescent="0.25">
      <c r="A86" s="1">
        <v>9</v>
      </c>
      <c r="B86" s="1" t="s">
        <v>264</v>
      </c>
      <c r="C86" s="7" t="s">
        <v>294</v>
      </c>
      <c r="D86" s="1" t="s">
        <v>26</v>
      </c>
      <c r="E86" s="1" t="s">
        <v>441</v>
      </c>
      <c r="F86" s="7" t="s">
        <v>429</v>
      </c>
      <c r="G86" s="7" t="s">
        <v>442</v>
      </c>
      <c r="H86" s="10">
        <v>6209050</v>
      </c>
      <c r="I86" s="10">
        <v>317066</v>
      </c>
      <c r="J86" s="10">
        <v>2644251</v>
      </c>
      <c r="K86" s="10">
        <v>621373</v>
      </c>
      <c r="L86" s="10">
        <v>1957186</v>
      </c>
      <c r="M86" s="10">
        <v>407958</v>
      </c>
      <c r="N86" s="10">
        <v>2800</v>
      </c>
      <c r="O86" s="10">
        <v>6100266</v>
      </c>
      <c r="P86" s="23">
        <v>3.6900000000000002E-2</v>
      </c>
      <c r="Q86" s="10">
        <v>0</v>
      </c>
      <c r="R86" s="27">
        <f>454866/6097466</f>
        <v>7.4599185956920472E-2</v>
      </c>
      <c r="S86" s="10">
        <v>454866</v>
      </c>
      <c r="T86" s="10">
        <v>0</v>
      </c>
      <c r="U86" s="10">
        <f>20799+746</f>
        <v>21545</v>
      </c>
      <c r="V86" s="10">
        <v>169035</v>
      </c>
      <c r="W86" s="10">
        <v>13645</v>
      </c>
      <c r="X86" s="10">
        <v>40777</v>
      </c>
      <c r="Y86" s="10">
        <f>29660+2682</f>
        <v>32342</v>
      </c>
      <c r="Z86" s="10">
        <v>3043</v>
      </c>
      <c r="AA86" s="10">
        <v>9054</v>
      </c>
      <c r="AB86" s="10">
        <v>775</v>
      </c>
      <c r="AC86" s="10">
        <f>6242+18601+10916</f>
        <v>35759</v>
      </c>
      <c r="AD86" s="10">
        <v>6430</v>
      </c>
      <c r="AE86" s="10">
        <v>3038</v>
      </c>
      <c r="AF86" s="10">
        <v>6694</v>
      </c>
      <c r="AG86" s="10">
        <v>2395</v>
      </c>
      <c r="AH86" s="10">
        <v>354584</v>
      </c>
      <c r="AI86" s="10">
        <v>360974</v>
      </c>
      <c r="AJ86" s="23">
        <f t="shared" si="9"/>
        <v>6.7543938812805989E-3</v>
      </c>
      <c r="AK86" s="10">
        <v>58992</v>
      </c>
      <c r="AL86" s="10">
        <v>0</v>
      </c>
      <c r="AM86" s="10">
        <v>126473</v>
      </c>
      <c r="AN86" s="10">
        <v>0</v>
      </c>
      <c r="AO86" s="10">
        <v>57171</v>
      </c>
      <c r="AP86" s="10">
        <v>0</v>
      </c>
      <c r="AQ86" s="10">
        <v>0</v>
      </c>
      <c r="AR86" s="10">
        <v>0</v>
      </c>
      <c r="AS86" s="10">
        <v>1213</v>
      </c>
      <c r="AT86" s="10">
        <v>579</v>
      </c>
      <c r="AU86" s="10">
        <v>-90</v>
      </c>
      <c r="AV86" s="10">
        <v>-117</v>
      </c>
      <c r="AW86" s="10">
        <v>-324</v>
      </c>
      <c r="AX86" s="10">
        <v>17</v>
      </c>
      <c r="AY86" s="10">
        <f t="shared" si="10"/>
        <v>1278</v>
      </c>
      <c r="AZ86" s="1">
        <v>2</v>
      </c>
      <c r="BA86" s="1">
        <v>135</v>
      </c>
      <c r="BB86" s="1">
        <v>35</v>
      </c>
      <c r="BC86" s="1">
        <v>154</v>
      </c>
      <c r="BD86" s="1">
        <v>0</v>
      </c>
    </row>
    <row r="87" spans="1:56" x14ac:dyDescent="0.25">
      <c r="A87" s="1">
        <v>9</v>
      </c>
      <c r="B87" s="1" t="s">
        <v>297</v>
      </c>
      <c r="C87" s="7" t="s">
        <v>486</v>
      </c>
      <c r="D87" s="1" t="s">
        <v>239</v>
      </c>
      <c r="E87" s="1" t="s">
        <v>376</v>
      </c>
      <c r="F87" s="7" t="s">
        <v>630</v>
      </c>
      <c r="G87" s="7" t="s">
        <v>379</v>
      </c>
      <c r="H87" s="10">
        <v>10211507</v>
      </c>
      <c r="I87" s="10">
        <v>199796</v>
      </c>
      <c r="J87" s="10">
        <v>5657462</v>
      </c>
      <c r="K87" s="10">
        <v>620696</v>
      </c>
      <c r="L87" s="10">
        <v>1401103</v>
      </c>
      <c r="M87" s="10">
        <v>948031</v>
      </c>
      <c r="N87" s="10">
        <v>0</v>
      </c>
      <c r="O87" s="10">
        <v>9241228</v>
      </c>
      <c r="P87" s="23">
        <v>0.182</v>
      </c>
      <c r="Q87" s="10">
        <v>0</v>
      </c>
      <c r="R87" s="27">
        <f>498897/9241228</f>
        <v>5.3986007054473713E-2</v>
      </c>
      <c r="S87" s="10">
        <v>498824</v>
      </c>
      <c r="T87" s="10">
        <v>0</v>
      </c>
      <c r="U87" s="10">
        <f>46894+1376</f>
        <v>48270</v>
      </c>
      <c r="V87" s="10">
        <v>200646</v>
      </c>
      <c r="W87" s="10">
        <v>16576</v>
      </c>
      <c r="X87" s="10">
        <v>21222</v>
      </c>
      <c r="Y87" s="10">
        <f>27020+4117</f>
        <v>31137</v>
      </c>
      <c r="Z87" s="10">
        <v>0</v>
      </c>
      <c r="AA87" s="10">
        <v>10406</v>
      </c>
      <c r="AB87" s="10">
        <v>0</v>
      </c>
      <c r="AC87" s="10">
        <f>5889+17085+22732</f>
        <v>45706</v>
      </c>
      <c r="AD87" s="10">
        <v>5000</v>
      </c>
      <c r="AE87" s="10">
        <v>1144</v>
      </c>
      <c r="AF87" s="10">
        <v>26602</v>
      </c>
      <c r="AG87" s="10">
        <v>397811</v>
      </c>
      <c r="AH87" s="10">
        <v>408211</v>
      </c>
      <c r="AI87" s="10">
        <v>416672</v>
      </c>
      <c r="AJ87" s="23">
        <f t="shared" si="9"/>
        <v>0.97452297953754308</v>
      </c>
      <c r="AK87" s="10">
        <v>55641</v>
      </c>
      <c r="AL87" s="10">
        <v>0</v>
      </c>
      <c r="AM87" s="10">
        <v>126473</v>
      </c>
      <c r="AN87" s="10">
        <v>0</v>
      </c>
      <c r="AO87" s="10">
        <v>76125</v>
      </c>
      <c r="AP87" s="10">
        <v>6729</v>
      </c>
      <c r="AQ87" s="10">
        <v>6729</v>
      </c>
      <c r="AR87" s="10">
        <v>0</v>
      </c>
      <c r="AS87" s="10">
        <v>1643</v>
      </c>
      <c r="AT87" s="10">
        <v>1036</v>
      </c>
      <c r="AU87" s="10">
        <v>-87</v>
      </c>
      <c r="AV87" s="10">
        <v>-268</v>
      </c>
      <c r="AW87" s="10">
        <v>-206</v>
      </c>
      <c r="AX87" s="10">
        <v>0</v>
      </c>
      <c r="AY87" s="10">
        <f t="shared" si="10"/>
        <v>2118</v>
      </c>
      <c r="AZ87" s="1">
        <v>11</v>
      </c>
      <c r="BA87" s="1">
        <v>268</v>
      </c>
      <c r="BB87" s="1">
        <v>174</v>
      </c>
      <c r="BC87" s="1">
        <v>1676</v>
      </c>
      <c r="BD87" s="1">
        <v>0</v>
      </c>
    </row>
    <row r="88" spans="1:56" x14ac:dyDescent="0.25">
      <c r="A88" s="1">
        <v>9</v>
      </c>
      <c r="B88" s="1" t="s">
        <v>331</v>
      </c>
      <c r="C88" s="7" t="s">
        <v>234</v>
      </c>
      <c r="D88" s="1" t="s">
        <v>199</v>
      </c>
      <c r="E88" s="1" t="s">
        <v>441</v>
      </c>
      <c r="F88" s="7" t="s">
        <v>557</v>
      </c>
      <c r="G88" s="7" t="s">
        <v>442</v>
      </c>
      <c r="H88" s="10">
        <v>34566181</v>
      </c>
      <c r="I88" s="10">
        <v>6831238</v>
      </c>
      <c r="J88" s="10">
        <v>16733010</v>
      </c>
      <c r="K88" s="10">
        <v>1549071</v>
      </c>
      <c r="L88" s="10">
        <v>4762918</v>
      </c>
      <c r="M88" s="10">
        <v>1797355</v>
      </c>
      <c r="N88" s="10">
        <v>4667</v>
      </c>
      <c r="O88" s="10">
        <v>26428655</v>
      </c>
      <c r="P88" s="23">
        <v>0.186</v>
      </c>
      <c r="Q88" s="10">
        <v>0</v>
      </c>
      <c r="R88" s="27">
        <f>1561918/26404052</f>
        <v>5.9154481289462692E-2</v>
      </c>
      <c r="S88" s="10">
        <v>1561894</v>
      </c>
      <c r="T88" s="10">
        <v>0</v>
      </c>
      <c r="U88" s="10">
        <f>207827+4418</f>
        <v>212245</v>
      </c>
      <c r="V88" s="10">
        <v>956754</v>
      </c>
      <c r="W88" s="10">
        <v>73925</v>
      </c>
      <c r="X88" s="10">
        <v>179586</v>
      </c>
      <c r="Y88" s="10">
        <f>58736+12229</f>
        <v>70965</v>
      </c>
      <c r="Z88" s="10">
        <v>12229</v>
      </c>
      <c r="AA88" s="10">
        <v>16106</v>
      </c>
      <c r="AB88" s="10">
        <v>725</v>
      </c>
      <c r="AC88" s="10">
        <f>13470+112688+71688</f>
        <v>197846</v>
      </c>
      <c r="AD88" s="10">
        <v>11434</v>
      </c>
      <c r="AE88" s="10">
        <v>25713</v>
      </c>
      <c r="AF88" s="10">
        <v>11974</v>
      </c>
      <c r="AG88" s="10">
        <v>174531</v>
      </c>
      <c r="AH88" s="10">
        <v>1675322</v>
      </c>
      <c r="AI88" s="10">
        <v>1694291</v>
      </c>
      <c r="AJ88" s="23">
        <f t="shared" si="9"/>
        <v>0.10417758496575584</v>
      </c>
      <c r="AK88" s="10">
        <v>34127</v>
      </c>
      <c r="AL88" s="10">
        <v>0</v>
      </c>
      <c r="AM88" s="10">
        <v>126473</v>
      </c>
      <c r="AN88" s="10">
        <v>0</v>
      </c>
      <c r="AO88" s="10">
        <v>34473</v>
      </c>
      <c r="AP88" s="10">
        <v>0</v>
      </c>
      <c r="AQ88" s="10">
        <v>0</v>
      </c>
      <c r="AR88" s="10">
        <v>0</v>
      </c>
      <c r="AS88" s="10">
        <v>5403</v>
      </c>
      <c r="AT88" s="10">
        <v>2798</v>
      </c>
      <c r="AU88" s="10">
        <v>-201</v>
      </c>
      <c r="AV88" s="10">
        <v>-950</v>
      </c>
      <c r="AW88" s="10">
        <v>-1111</v>
      </c>
      <c r="AX88" s="10">
        <f>22-4</f>
        <v>18</v>
      </c>
      <c r="AY88" s="10">
        <f t="shared" si="10"/>
        <v>5957</v>
      </c>
      <c r="AZ88" s="1">
        <v>40</v>
      </c>
      <c r="BA88" s="1">
        <v>249</v>
      </c>
      <c r="BB88" s="1">
        <v>75</v>
      </c>
      <c r="BC88" s="1">
        <v>772</v>
      </c>
      <c r="BD88" s="1">
        <v>15</v>
      </c>
    </row>
    <row r="89" spans="1:56" x14ac:dyDescent="0.25">
      <c r="A89" s="1">
        <v>9</v>
      </c>
      <c r="B89" s="1" t="s">
        <v>367</v>
      </c>
      <c r="C89" s="7" t="s">
        <v>588</v>
      </c>
      <c r="D89" s="1" t="s">
        <v>521</v>
      </c>
      <c r="E89" s="1" t="s">
        <v>376</v>
      </c>
      <c r="F89" s="7" t="s">
        <v>188</v>
      </c>
      <c r="G89" s="7" t="s">
        <v>379</v>
      </c>
      <c r="H89" s="10">
        <v>4018451</v>
      </c>
      <c r="I89" s="10">
        <v>148675</v>
      </c>
      <c r="J89" s="10">
        <v>2118350</v>
      </c>
      <c r="K89" s="10">
        <v>393652</v>
      </c>
      <c r="L89" s="10">
        <v>821609</v>
      </c>
      <c r="M89" s="10">
        <v>190755</v>
      </c>
      <c r="N89" s="10">
        <v>0</v>
      </c>
      <c r="O89" s="10">
        <v>3763216</v>
      </c>
      <c r="P89" s="23">
        <v>0.1143</v>
      </c>
      <c r="Q89" s="10">
        <v>0</v>
      </c>
      <c r="R89" s="27">
        <f>228085/3763216</f>
        <v>6.0609064162142165E-2</v>
      </c>
      <c r="S89" s="10">
        <v>228085</v>
      </c>
      <c r="T89" s="10">
        <v>0</v>
      </c>
      <c r="U89" s="10">
        <f>19886+435</f>
        <v>20321</v>
      </c>
      <c r="V89" s="10">
        <v>43935</v>
      </c>
      <c r="W89" s="10">
        <v>3287</v>
      </c>
      <c r="X89" s="10">
        <v>6255</v>
      </c>
      <c r="Y89" s="10">
        <v>12269</v>
      </c>
      <c r="Z89" s="10">
        <v>3535</v>
      </c>
      <c r="AA89" s="10">
        <v>3667</v>
      </c>
      <c r="AB89" s="10">
        <v>1645</v>
      </c>
      <c r="AC89" s="10">
        <f>2482+7800+5675</f>
        <v>15957</v>
      </c>
      <c r="AD89" s="10">
        <v>1954</v>
      </c>
      <c r="AE89" s="10">
        <v>0</v>
      </c>
      <c r="AF89" s="10">
        <v>3609</v>
      </c>
      <c r="AG89" s="10">
        <v>16946</v>
      </c>
      <c r="AH89" s="10">
        <v>126774</v>
      </c>
      <c r="AI89" s="10">
        <v>136982</v>
      </c>
      <c r="AJ89" s="23">
        <f t="shared" si="9"/>
        <v>0.13367094199126003</v>
      </c>
      <c r="AK89" s="10">
        <v>21578</v>
      </c>
      <c r="AL89" s="10">
        <v>0</v>
      </c>
      <c r="AM89" s="10">
        <v>126473</v>
      </c>
      <c r="AN89" s="10">
        <v>0</v>
      </c>
      <c r="AO89" s="10">
        <v>16746</v>
      </c>
      <c r="AP89" s="10">
        <v>0</v>
      </c>
      <c r="AQ89" s="10">
        <v>0</v>
      </c>
      <c r="AR89" s="10">
        <v>0</v>
      </c>
      <c r="AS89" s="10">
        <v>571</v>
      </c>
      <c r="AT89" s="10">
        <v>230</v>
      </c>
      <c r="AU89" s="10">
        <v>-42</v>
      </c>
      <c r="AV89" s="10">
        <v>-72</v>
      </c>
      <c r="AW89" s="10">
        <v>-120</v>
      </c>
      <c r="AX89" s="10">
        <f>6-1</f>
        <v>5</v>
      </c>
      <c r="AY89" s="10">
        <f t="shared" si="10"/>
        <v>572</v>
      </c>
      <c r="AZ89" s="1">
        <v>2</v>
      </c>
      <c r="BA89" s="1">
        <v>45</v>
      </c>
      <c r="BB89" s="1">
        <v>21</v>
      </c>
      <c r="BC89" s="1">
        <v>54</v>
      </c>
      <c r="BD89" s="1">
        <v>0</v>
      </c>
    </row>
    <row r="90" spans="1:56" x14ac:dyDescent="0.25">
      <c r="A90" s="1">
        <v>9</v>
      </c>
      <c r="B90" s="1" t="s">
        <v>460</v>
      </c>
      <c r="C90" s="7" t="s">
        <v>221</v>
      </c>
      <c r="D90" s="1" t="s">
        <v>646</v>
      </c>
      <c r="E90" s="1" t="s">
        <v>441</v>
      </c>
      <c r="F90" s="7" t="s">
        <v>557</v>
      </c>
      <c r="G90" s="7" t="s">
        <v>442</v>
      </c>
      <c r="H90" s="10">
        <v>37800221</v>
      </c>
      <c r="I90" s="10">
        <v>1163097</v>
      </c>
      <c r="J90" s="10">
        <v>22206264</v>
      </c>
      <c r="K90" s="10">
        <v>2706324</v>
      </c>
      <c r="L90" s="10">
        <v>7415953</v>
      </c>
      <c r="M90" s="10">
        <v>1799407</v>
      </c>
      <c r="N90" s="10">
        <v>149943</v>
      </c>
      <c r="O90" s="10">
        <v>36116469</v>
      </c>
      <c r="P90" s="23">
        <v>6.0999999999999999E-2</v>
      </c>
      <c r="Q90" s="10">
        <v>0</v>
      </c>
      <c r="R90" s="27">
        <f>1769414/35966526</f>
        <v>4.9196133093310154E-2</v>
      </c>
      <c r="S90" s="10">
        <v>1766159</v>
      </c>
      <c r="T90" s="10">
        <v>0</v>
      </c>
      <c r="U90" s="10">
        <f>148590+307+1751</f>
        <v>150648</v>
      </c>
      <c r="V90" s="10">
        <v>862001</v>
      </c>
      <c r="W90" s="10">
        <v>68234</v>
      </c>
      <c r="X90" s="10">
        <v>161631</v>
      </c>
      <c r="Y90" s="10">
        <v>207285</v>
      </c>
      <c r="Z90" s="10">
        <v>3749</v>
      </c>
      <c r="AA90" s="10">
        <v>19941</v>
      </c>
      <c r="AB90" s="10">
        <v>0</v>
      </c>
      <c r="AC90" s="10">
        <f>39686+119529+65296</f>
        <v>224511</v>
      </c>
      <c r="AD90" s="10">
        <v>13858</v>
      </c>
      <c r="AE90" s="10">
        <v>52170</v>
      </c>
      <c r="AF90" s="10">
        <v>32994</v>
      </c>
      <c r="AG90" s="10">
        <v>0</v>
      </c>
      <c r="AH90" s="10">
        <v>1820234</v>
      </c>
      <c r="AI90" s="10">
        <v>1795861</v>
      </c>
      <c r="AJ90" s="23">
        <f t="shared" si="9"/>
        <v>0</v>
      </c>
      <c r="AK90" s="10">
        <v>83195</v>
      </c>
      <c r="AL90" s="10">
        <v>0</v>
      </c>
      <c r="AM90" s="10">
        <v>125273</v>
      </c>
      <c r="AN90" s="10">
        <v>0</v>
      </c>
      <c r="AO90" s="10">
        <v>204453</v>
      </c>
      <c r="AP90" s="10">
        <v>0</v>
      </c>
      <c r="AQ90" s="10">
        <v>0</v>
      </c>
      <c r="AR90" s="10">
        <v>0</v>
      </c>
      <c r="AS90" s="10">
        <v>6178</v>
      </c>
      <c r="AT90" s="10">
        <v>2569</v>
      </c>
      <c r="AU90" s="10">
        <v>-301</v>
      </c>
      <c r="AV90" s="10">
        <v>-873</v>
      </c>
      <c r="AW90" s="10">
        <v>-1233</v>
      </c>
      <c r="AX90" s="10">
        <v>0</v>
      </c>
      <c r="AY90" s="10">
        <f t="shared" si="10"/>
        <v>6340</v>
      </c>
      <c r="AZ90" s="1">
        <v>124</v>
      </c>
      <c r="BA90" s="1">
        <v>503</v>
      </c>
      <c r="BB90" s="1">
        <v>70</v>
      </c>
      <c r="BC90" s="1">
        <v>659</v>
      </c>
      <c r="BD90" s="1">
        <v>0</v>
      </c>
    </row>
    <row r="91" spans="1:56" x14ac:dyDescent="0.25">
      <c r="A91" s="1">
        <v>9</v>
      </c>
      <c r="B91" s="1" t="s">
        <v>511</v>
      </c>
      <c r="C91" s="7" t="s">
        <v>87</v>
      </c>
      <c r="D91" s="1" t="s">
        <v>239</v>
      </c>
      <c r="E91" s="1" t="s">
        <v>376</v>
      </c>
      <c r="F91" s="7" t="s">
        <v>630</v>
      </c>
      <c r="G91" s="7" t="s">
        <v>379</v>
      </c>
      <c r="H91" s="10">
        <v>10359434</v>
      </c>
      <c r="I91" s="10">
        <v>381870</v>
      </c>
      <c r="J91" s="10">
        <v>5754790</v>
      </c>
      <c r="K91" s="10">
        <v>634975</v>
      </c>
      <c r="L91" s="10">
        <v>1494453</v>
      </c>
      <c r="M91" s="10">
        <v>974512</v>
      </c>
      <c r="N91" s="10">
        <v>0</v>
      </c>
      <c r="O91" s="10">
        <v>9484341</v>
      </c>
      <c r="P91" s="23">
        <v>0.16500000000000001</v>
      </c>
      <c r="Q91" s="10">
        <v>0</v>
      </c>
      <c r="R91" s="27">
        <f>511356/9484341</f>
        <v>5.3915817661975673E-2</v>
      </c>
      <c r="S91" s="10">
        <v>511363</v>
      </c>
      <c r="T91" s="10">
        <v>0</v>
      </c>
      <c r="U91" s="10">
        <f>47147+1563</f>
        <v>48710</v>
      </c>
      <c r="V91" s="10">
        <v>200646</v>
      </c>
      <c r="W91" s="10">
        <v>16576</v>
      </c>
      <c r="X91" s="10">
        <v>21222</v>
      </c>
      <c r="Y91" s="10">
        <f>27020+4117</f>
        <v>31137</v>
      </c>
      <c r="Z91" s="10">
        <v>0</v>
      </c>
      <c r="AA91" s="10">
        <v>10406</v>
      </c>
      <c r="AB91" s="10">
        <v>0</v>
      </c>
      <c r="AC91" s="10">
        <f>5889+17085+22733</f>
        <v>45707</v>
      </c>
      <c r="AD91" s="10">
        <v>5007</v>
      </c>
      <c r="AE91" s="10">
        <v>1144</v>
      </c>
      <c r="AF91" s="10">
        <v>26602</v>
      </c>
      <c r="AG91" s="10">
        <v>396849</v>
      </c>
      <c r="AH91" s="10">
        <v>407256</v>
      </c>
      <c r="AI91" s="10">
        <v>415812</v>
      </c>
      <c r="AJ91" s="23">
        <f t="shared" si="9"/>
        <v>0.97444604867699924</v>
      </c>
      <c r="AK91" s="10">
        <v>39877</v>
      </c>
      <c r="AL91" s="10">
        <v>0</v>
      </c>
      <c r="AM91" s="10">
        <v>126473</v>
      </c>
      <c r="AN91" s="10"/>
      <c r="AO91" s="10">
        <v>74555</v>
      </c>
      <c r="AP91" s="10">
        <v>5321</v>
      </c>
      <c r="AQ91" s="10">
        <v>5321</v>
      </c>
      <c r="AR91" s="10">
        <v>0</v>
      </c>
      <c r="AS91" s="10">
        <v>1660</v>
      </c>
      <c r="AT91" s="10">
        <v>1036</v>
      </c>
      <c r="AU91" s="10">
        <v>-87</v>
      </c>
      <c r="AV91" s="10">
        <v>-277</v>
      </c>
      <c r="AW91" s="10">
        <v>-208</v>
      </c>
      <c r="AX91" s="10">
        <v>0</v>
      </c>
      <c r="AY91" s="10">
        <f t="shared" si="10"/>
        <v>2124</v>
      </c>
      <c r="AZ91" s="1">
        <v>17</v>
      </c>
      <c r="BA91" s="1">
        <v>254</v>
      </c>
      <c r="BB91" s="1">
        <v>186</v>
      </c>
      <c r="BC91" s="1">
        <v>1684</v>
      </c>
      <c r="BD91" s="1">
        <v>0</v>
      </c>
    </row>
    <row r="92" spans="1:56" x14ac:dyDescent="0.25">
      <c r="A92" s="1">
        <v>9</v>
      </c>
      <c r="B92" s="1" t="s">
        <v>513</v>
      </c>
      <c r="C92" s="7" t="s">
        <v>594</v>
      </c>
      <c r="D92" s="1" t="s">
        <v>104</v>
      </c>
      <c r="E92" s="1" t="s">
        <v>441</v>
      </c>
      <c r="F92" s="7" t="s">
        <v>429</v>
      </c>
      <c r="G92" s="7" t="s">
        <v>442</v>
      </c>
      <c r="H92" s="10">
        <v>7006441</v>
      </c>
      <c r="I92" s="10">
        <v>174650</v>
      </c>
      <c r="J92" s="10">
        <v>3349858</v>
      </c>
      <c r="K92" s="10">
        <v>452197</v>
      </c>
      <c r="L92" s="10">
        <v>1873815</v>
      </c>
      <c r="M92" s="10">
        <v>451415</v>
      </c>
      <c r="N92" s="10">
        <v>4510</v>
      </c>
      <c r="O92" s="10">
        <v>6678727</v>
      </c>
      <c r="P92" s="23">
        <v>0.114</v>
      </c>
      <c r="Q92" s="10">
        <v>0</v>
      </c>
      <c r="R92" s="27">
        <f>518893/6646307</f>
        <v>7.8072379142281573E-2</v>
      </c>
      <c r="S92" s="10">
        <v>518852</v>
      </c>
      <c r="T92" s="10">
        <v>0</v>
      </c>
      <c r="U92" s="10">
        <v>0</v>
      </c>
      <c r="V92" s="10">
        <v>168864</v>
      </c>
      <c r="W92" s="10">
        <v>12799</v>
      </c>
      <c r="X92" s="10">
        <v>32159</v>
      </c>
      <c r="Y92" s="10">
        <v>57603</v>
      </c>
      <c r="Z92" s="10">
        <v>1666</v>
      </c>
      <c r="AA92" s="10">
        <v>10043</v>
      </c>
      <c r="AB92" s="10">
        <v>1980</v>
      </c>
      <c r="AC92" s="10">
        <f>8438+14000+9937</f>
        <v>32375</v>
      </c>
      <c r="AD92" s="10">
        <v>4870</v>
      </c>
      <c r="AE92" s="10">
        <v>4163</v>
      </c>
      <c r="AF92" s="10">
        <v>11817</v>
      </c>
      <c r="AG92" s="10">
        <v>0</v>
      </c>
      <c r="AH92" s="10">
        <v>360769</v>
      </c>
      <c r="AI92" s="10">
        <v>364751</v>
      </c>
      <c r="AJ92" s="23">
        <f t="shared" si="9"/>
        <v>0</v>
      </c>
      <c r="AK92" s="10">
        <v>15449</v>
      </c>
      <c r="AL92" s="10">
        <v>0</v>
      </c>
      <c r="AM92" s="10">
        <v>126473</v>
      </c>
      <c r="AN92" s="10">
        <v>0</v>
      </c>
      <c r="AO92" s="10">
        <v>51704</v>
      </c>
      <c r="AP92" s="10">
        <v>0</v>
      </c>
      <c r="AQ92" s="10">
        <v>0</v>
      </c>
      <c r="AR92" s="10">
        <v>0</v>
      </c>
      <c r="AS92" s="10">
        <v>1533</v>
      </c>
      <c r="AT92" s="10">
        <v>652</v>
      </c>
      <c r="AU92" s="10">
        <v>-99</v>
      </c>
      <c r="AV92" s="10">
        <v>-164</v>
      </c>
      <c r="AW92" s="10">
        <v>-318</v>
      </c>
      <c r="AX92" s="10">
        <v>0</v>
      </c>
      <c r="AY92" s="10">
        <f t="shared" si="10"/>
        <v>1604</v>
      </c>
      <c r="AZ92" s="1">
        <v>0</v>
      </c>
      <c r="BA92" s="1">
        <v>93</v>
      </c>
      <c r="BB92" s="1">
        <v>32</v>
      </c>
      <c r="BC92" s="1">
        <v>180</v>
      </c>
      <c r="BD92" s="1">
        <v>3</v>
      </c>
    </row>
    <row r="93" spans="1:56" x14ac:dyDescent="0.25">
      <c r="A93" s="1">
        <v>9</v>
      </c>
      <c r="B93" s="1" t="s">
        <v>518</v>
      </c>
      <c r="C93" s="7" t="s">
        <v>155</v>
      </c>
      <c r="D93" s="1" t="s">
        <v>559</v>
      </c>
      <c r="E93" s="1" t="s">
        <v>376</v>
      </c>
      <c r="F93" s="7" t="s">
        <v>188</v>
      </c>
      <c r="G93" s="7" t="s">
        <v>379</v>
      </c>
      <c r="H93" s="10">
        <v>58636956</v>
      </c>
      <c r="I93" s="10">
        <v>2702195</v>
      </c>
      <c r="J93" s="10">
        <v>36067432</v>
      </c>
      <c r="K93" s="10">
        <v>1780870</v>
      </c>
      <c r="L93" s="10">
        <v>9806088</v>
      </c>
      <c r="M93" s="10">
        <v>3680969</v>
      </c>
      <c r="N93" s="10">
        <v>83130</v>
      </c>
      <c r="O93" s="10">
        <v>53552896</v>
      </c>
      <c r="P93" s="23">
        <v>0.1454</v>
      </c>
      <c r="Q93" s="10">
        <v>0</v>
      </c>
      <c r="R93" s="27">
        <f>2126062/53151543</f>
        <v>4.000000526795619E-2</v>
      </c>
      <c r="S93" s="10">
        <v>2125380</v>
      </c>
      <c r="T93" s="10">
        <v>0</v>
      </c>
      <c r="U93" s="10">
        <f>230246+15605</f>
        <v>245851</v>
      </c>
      <c r="V93" s="10">
        <v>1154514</v>
      </c>
      <c r="W93" s="10">
        <v>99167</v>
      </c>
      <c r="X93" s="10">
        <v>187030</v>
      </c>
      <c r="Y93" s="10">
        <f>163160+16854</f>
        <v>180014</v>
      </c>
      <c r="Z93" s="10">
        <v>2157</v>
      </c>
      <c r="AA93" s="10">
        <v>17148</v>
      </c>
      <c r="AB93" s="10">
        <v>42940</v>
      </c>
      <c r="AC93" s="10">
        <f>30437+79134+93113</f>
        <v>202684</v>
      </c>
      <c r="AD93" s="10">
        <v>29893</v>
      </c>
      <c r="AE93" s="10">
        <v>957</v>
      </c>
      <c r="AF93" s="10">
        <v>40876</v>
      </c>
      <c r="AG93" s="10">
        <v>19066</v>
      </c>
      <c r="AH93" s="10">
        <v>2288397</v>
      </c>
      <c r="AI93" s="10">
        <v>2305252</v>
      </c>
      <c r="AJ93" s="23">
        <f t="shared" si="9"/>
        <v>8.3315963095564275E-3</v>
      </c>
      <c r="AK93" s="10">
        <v>316813</v>
      </c>
      <c r="AL93" s="10">
        <v>0</v>
      </c>
      <c r="AM93" s="10">
        <v>126473</v>
      </c>
      <c r="AN93" s="10">
        <v>0</v>
      </c>
      <c r="AO93" s="10">
        <v>362256</v>
      </c>
      <c r="AP93" s="10">
        <v>0</v>
      </c>
      <c r="AQ93" s="10">
        <v>0</v>
      </c>
      <c r="AR93" s="10">
        <v>0</v>
      </c>
      <c r="AS93" s="10">
        <v>8081</v>
      </c>
      <c r="AT93" s="10">
        <v>5608</v>
      </c>
      <c r="AU93" s="10">
        <v>-512</v>
      </c>
      <c r="AV93" s="10">
        <v>-2626</v>
      </c>
      <c r="AW93" s="10">
        <v>-1026</v>
      </c>
      <c r="AX93" s="10">
        <v>35</v>
      </c>
      <c r="AY93" s="10">
        <f t="shared" si="10"/>
        <v>9560</v>
      </c>
      <c r="AZ93" s="1">
        <v>102</v>
      </c>
      <c r="BA93" s="1" t="s">
        <v>405</v>
      </c>
      <c r="BB93" s="1" t="s">
        <v>405</v>
      </c>
      <c r="BC93" s="1" t="s">
        <v>405</v>
      </c>
      <c r="BD93" s="1" t="s">
        <v>405</v>
      </c>
    </row>
    <row r="94" spans="1:56" x14ac:dyDescent="0.25">
      <c r="A94" s="1">
        <v>9</v>
      </c>
      <c r="B94" s="1" t="s">
        <v>622</v>
      </c>
      <c r="C94" s="7" t="s">
        <v>403</v>
      </c>
      <c r="D94" s="1" t="s">
        <v>126</v>
      </c>
      <c r="E94" s="1" t="s">
        <v>441</v>
      </c>
      <c r="F94" s="7" t="s">
        <v>429</v>
      </c>
      <c r="G94" s="7" t="s">
        <v>442</v>
      </c>
      <c r="H94" s="10">
        <v>19052260</v>
      </c>
      <c r="I94" s="10">
        <v>1392697</v>
      </c>
      <c r="J94" s="10">
        <v>9185350</v>
      </c>
      <c r="K94" s="10">
        <v>2011588</v>
      </c>
      <c r="L94" s="10">
        <v>3987887</v>
      </c>
      <c r="M94" s="10">
        <v>653280</v>
      </c>
      <c r="N94" s="10">
        <v>14307</v>
      </c>
      <c r="O94" s="10">
        <v>17013127</v>
      </c>
      <c r="P94" s="23">
        <v>0.11600000000000001</v>
      </c>
      <c r="Q94" s="10">
        <v>0</v>
      </c>
      <c r="R94" s="27">
        <f>1158723/16880907</f>
        <v>6.8641039252215541E-2</v>
      </c>
      <c r="S94" s="10">
        <v>1158706</v>
      </c>
      <c r="T94" s="10">
        <v>0</v>
      </c>
      <c r="U94" s="10">
        <f>105197+577+998</f>
        <v>106772</v>
      </c>
      <c r="V94" s="10">
        <v>482947</v>
      </c>
      <c r="W94" s="10">
        <v>39103</v>
      </c>
      <c r="X94" s="10">
        <v>119004</v>
      </c>
      <c r="Y94" s="10">
        <f>74808+10562</f>
        <v>85370</v>
      </c>
      <c r="Z94" s="10">
        <v>7885</v>
      </c>
      <c r="AA94" s="10">
        <v>89344</v>
      </c>
      <c r="AB94" s="10">
        <v>0</v>
      </c>
      <c r="AC94" s="10">
        <f>7948+58049+23560</f>
        <v>89557</v>
      </c>
      <c r="AD94" s="10">
        <v>11458</v>
      </c>
      <c r="AE94" s="10">
        <v>43108</v>
      </c>
      <c r="AF94" s="10">
        <v>3663</v>
      </c>
      <c r="AG94" s="10">
        <v>0</v>
      </c>
      <c r="AH94" s="10">
        <v>1154048</v>
      </c>
      <c r="AI94" s="10">
        <v>1139666</v>
      </c>
      <c r="AJ94" s="23">
        <f t="shared" si="9"/>
        <v>0</v>
      </c>
      <c r="AK94" s="10">
        <v>138723</v>
      </c>
      <c r="AL94" s="10">
        <v>1000</v>
      </c>
      <c r="AM94" s="10">
        <v>126473</v>
      </c>
      <c r="AN94" s="10">
        <v>0</v>
      </c>
      <c r="AO94" s="10">
        <v>133650</v>
      </c>
      <c r="AP94" s="10">
        <v>0</v>
      </c>
      <c r="AQ94" s="10">
        <v>0</v>
      </c>
      <c r="AR94" s="10">
        <v>0</v>
      </c>
      <c r="AS94" s="10">
        <v>3992</v>
      </c>
      <c r="AT94" s="10">
        <v>2360</v>
      </c>
      <c r="AU94" s="10">
        <v>-212</v>
      </c>
      <c r="AV94" s="10">
        <v>-1038</v>
      </c>
      <c r="AW94" s="10">
        <v>-780</v>
      </c>
      <c r="AX94" s="10">
        <v>-3</v>
      </c>
      <c r="AY94" s="10">
        <f t="shared" si="10"/>
        <v>4319</v>
      </c>
      <c r="AZ94" s="1">
        <v>15</v>
      </c>
      <c r="BA94" s="1">
        <v>290</v>
      </c>
      <c r="BB94" s="1">
        <v>58</v>
      </c>
      <c r="BC94" s="1">
        <v>352</v>
      </c>
      <c r="BD94" s="1">
        <v>80</v>
      </c>
    </row>
    <row r="95" spans="1:56" x14ac:dyDescent="0.25">
      <c r="A95" s="1">
        <v>10</v>
      </c>
      <c r="B95" s="1" t="s">
        <v>24</v>
      </c>
      <c r="C95" s="7" t="s">
        <v>182</v>
      </c>
      <c r="D95" s="1" t="s">
        <v>219</v>
      </c>
      <c r="E95" s="1" t="s">
        <v>278</v>
      </c>
      <c r="F95" s="7" t="s">
        <v>429</v>
      </c>
      <c r="G95" s="7" t="s">
        <v>280</v>
      </c>
      <c r="H95" s="10">
        <v>3073737</v>
      </c>
      <c r="I95" s="10">
        <v>77208</v>
      </c>
      <c r="J95" s="10">
        <v>1353592</v>
      </c>
      <c r="K95" s="10">
        <v>214656</v>
      </c>
      <c r="L95" s="10">
        <v>798915</v>
      </c>
      <c r="M95" s="10">
        <v>329818</v>
      </c>
      <c r="N95" s="10">
        <v>2856</v>
      </c>
      <c r="O95" s="10">
        <v>2973388</v>
      </c>
      <c r="P95" s="23">
        <v>0.15</v>
      </c>
      <c r="Q95" s="10">
        <v>0</v>
      </c>
      <c r="R95" s="27">
        <f>274725/2969996</f>
        <v>9.2500124579292367E-2</v>
      </c>
      <c r="S95" s="10">
        <v>273015</v>
      </c>
      <c r="T95" s="10">
        <v>0</v>
      </c>
      <c r="U95" s="10">
        <f>17180+552</f>
        <v>17732</v>
      </c>
      <c r="V95" s="10">
        <v>81697</v>
      </c>
      <c r="W95" s="10">
        <v>6630</v>
      </c>
      <c r="X95" s="10">
        <v>12715</v>
      </c>
      <c r="Y95" s="10">
        <v>11370</v>
      </c>
      <c r="Z95" s="10">
        <v>6900</v>
      </c>
      <c r="AA95" s="10">
        <v>5687</v>
      </c>
      <c r="AB95" s="10">
        <v>0</v>
      </c>
      <c r="AC95" s="10">
        <f>4626+6733+5539</f>
        <v>16898</v>
      </c>
      <c r="AD95" s="10">
        <v>5772</v>
      </c>
      <c r="AE95" s="10">
        <v>208</v>
      </c>
      <c r="AF95" s="10">
        <v>4920</v>
      </c>
      <c r="AG95" s="10">
        <v>42019</v>
      </c>
      <c r="AH95" s="10">
        <v>168359</v>
      </c>
      <c r="AI95" s="10">
        <v>169865</v>
      </c>
      <c r="AJ95" s="23">
        <f t="shared" si="9"/>
        <v>0.24957976704542079</v>
      </c>
      <c r="AK95" s="10">
        <v>24220</v>
      </c>
      <c r="AL95" s="10">
        <v>0</v>
      </c>
      <c r="AM95" s="10">
        <v>126473</v>
      </c>
      <c r="AN95" s="10">
        <v>0</v>
      </c>
      <c r="AO95" s="10">
        <v>23895</v>
      </c>
      <c r="AP95" s="10">
        <v>0</v>
      </c>
      <c r="AQ95" s="10">
        <v>0</v>
      </c>
      <c r="AR95" s="10">
        <v>0</v>
      </c>
      <c r="AS95" s="10">
        <v>603</v>
      </c>
      <c r="AT95" s="10">
        <v>267</v>
      </c>
      <c r="AU95" s="10">
        <v>9</v>
      </c>
      <c r="AV95" s="10">
        <v>-122</v>
      </c>
      <c r="AW95" s="10">
        <v>-116</v>
      </c>
      <c r="AX95" s="10">
        <v>-44</v>
      </c>
      <c r="AY95" s="10">
        <f t="shared" si="10"/>
        <v>597</v>
      </c>
      <c r="AZ95" s="1">
        <v>2</v>
      </c>
      <c r="BA95" s="1">
        <v>48</v>
      </c>
      <c r="BB95" s="1">
        <v>12</v>
      </c>
      <c r="BC95" s="1">
        <v>34</v>
      </c>
      <c r="BD95" s="1">
        <v>7</v>
      </c>
    </row>
    <row r="96" spans="1:56" x14ac:dyDescent="0.25">
      <c r="A96" s="1">
        <v>10</v>
      </c>
      <c r="B96" s="1" t="s">
        <v>74</v>
      </c>
      <c r="C96" s="7" t="s">
        <v>299</v>
      </c>
      <c r="D96" s="1" t="s">
        <v>545</v>
      </c>
      <c r="E96" s="1" t="s">
        <v>278</v>
      </c>
      <c r="F96" s="7" t="s">
        <v>557</v>
      </c>
      <c r="G96" s="7" t="s">
        <v>280</v>
      </c>
      <c r="H96" s="10">
        <v>4950933</v>
      </c>
      <c r="I96" s="10">
        <v>58302</v>
      </c>
      <c r="J96" s="10">
        <v>2412345</v>
      </c>
      <c r="K96" s="10">
        <v>181219</v>
      </c>
      <c r="L96" s="10">
        <v>726701</v>
      </c>
      <c r="M96" s="10">
        <v>702370</v>
      </c>
      <c r="N96" s="10">
        <v>0</v>
      </c>
      <c r="O96" s="10">
        <v>4511321</v>
      </c>
      <c r="P96" s="23">
        <v>0.11</v>
      </c>
      <c r="Q96" s="10">
        <v>0</v>
      </c>
      <c r="R96" s="27">
        <f>402337/4511321</f>
        <v>8.9183855460518102E-2</v>
      </c>
      <c r="S96" s="10">
        <v>402153</v>
      </c>
      <c r="T96" s="10">
        <v>0</v>
      </c>
      <c r="U96" s="10">
        <f>7302+542</f>
        <v>7844</v>
      </c>
      <c r="V96" s="10">
        <v>130994</v>
      </c>
      <c r="W96" s="10">
        <v>11633</v>
      </c>
      <c r="X96" s="10">
        <v>16471</v>
      </c>
      <c r="Y96" s="10">
        <v>15600</v>
      </c>
      <c r="Z96" s="10">
        <v>0</v>
      </c>
      <c r="AA96" s="10">
        <v>20648</v>
      </c>
      <c r="AB96" s="10">
        <v>2900</v>
      </c>
      <c r="AC96" s="10">
        <f>9634+23310+14405</f>
        <v>47349</v>
      </c>
      <c r="AD96" s="10">
        <v>2809</v>
      </c>
      <c r="AE96" s="10">
        <v>3305</v>
      </c>
      <c r="AF96" s="10">
        <v>23610</v>
      </c>
      <c r="AG96" s="10">
        <v>85494</v>
      </c>
      <c r="AH96" s="10">
        <v>313649</v>
      </c>
      <c r="AI96" s="10">
        <v>326448</v>
      </c>
      <c r="AJ96" s="23">
        <f t="shared" si="9"/>
        <v>0.27257858306578375</v>
      </c>
      <c r="AK96" s="10">
        <v>0</v>
      </c>
      <c r="AL96" s="10">
        <v>0</v>
      </c>
      <c r="AM96" s="10">
        <v>106882</v>
      </c>
      <c r="AN96" s="10">
        <v>0</v>
      </c>
      <c r="AO96" s="10">
        <v>3563</v>
      </c>
      <c r="AP96" s="10">
        <v>0</v>
      </c>
      <c r="AQ96" s="10">
        <v>0</v>
      </c>
      <c r="AR96" s="10">
        <v>0</v>
      </c>
      <c r="AS96" s="10">
        <v>1297</v>
      </c>
      <c r="AT96" s="10">
        <v>880</v>
      </c>
      <c r="AU96" s="10">
        <v>-87</v>
      </c>
      <c r="AV96" s="10">
        <v>-260</v>
      </c>
      <c r="AW96" s="10">
        <v>-97</v>
      </c>
      <c r="AX96" s="10">
        <v>13</v>
      </c>
      <c r="AY96" s="10">
        <f t="shared" si="10"/>
        <v>1746</v>
      </c>
      <c r="AZ96" s="1">
        <v>24</v>
      </c>
      <c r="BA96" s="1">
        <v>40</v>
      </c>
      <c r="BB96" s="1">
        <v>23</v>
      </c>
      <c r="BC96" s="1">
        <v>32</v>
      </c>
      <c r="BD96" s="1">
        <v>2</v>
      </c>
    </row>
    <row r="97" spans="1:56" x14ac:dyDescent="0.25">
      <c r="A97" s="1">
        <v>10</v>
      </c>
      <c r="B97" s="1" t="s">
        <v>82</v>
      </c>
      <c r="C97" s="7" t="s">
        <v>501</v>
      </c>
      <c r="D97" s="1" t="s">
        <v>509</v>
      </c>
      <c r="E97" s="1" t="s">
        <v>276</v>
      </c>
      <c r="F97" s="7" t="s">
        <v>111</v>
      </c>
      <c r="G97" s="7" t="s">
        <v>277</v>
      </c>
      <c r="H97" s="10">
        <v>2438952</v>
      </c>
      <c r="I97" s="10">
        <v>19261</v>
      </c>
      <c r="J97" s="10">
        <v>1335753</v>
      </c>
      <c r="K97" s="10">
        <v>177571</v>
      </c>
      <c r="L97" s="10">
        <v>410970</v>
      </c>
      <c r="M97" s="10">
        <v>191346</v>
      </c>
      <c r="N97" s="10">
        <v>0</v>
      </c>
      <c r="O97" s="10">
        <v>2342360</v>
      </c>
      <c r="P97" s="23">
        <v>0.14000000000000001</v>
      </c>
      <c r="Q97" s="10">
        <v>0</v>
      </c>
      <c r="R97" s="27">
        <f>225463/2342360</f>
        <v>9.6254632080465849E-2</v>
      </c>
      <c r="S97" s="10">
        <v>225309</v>
      </c>
      <c r="T97" s="10">
        <v>0</v>
      </c>
      <c r="U97" s="10">
        <f>5618+275</f>
        <v>5893</v>
      </c>
      <c r="V97" s="10">
        <v>61606</v>
      </c>
      <c r="W97" s="10">
        <v>5607</v>
      </c>
      <c r="X97" s="10">
        <v>4056</v>
      </c>
      <c r="Y97" s="10">
        <f>6950+674</f>
        <v>7624</v>
      </c>
      <c r="Z97" s="10">
        <v>0</v>
      </c>
      <c r="AA97" s="10">
        <v>0</v>
      </c>
      <c r="AB97" s="10">
        <v>0</v>
      </c>
      <c r="AC97" s="10">
        <f>1373+4300+3773</f>
        <v>9446</v>
      </c>
      <c r="AD97" s="10">
        <v>4018</v>
      </c>
      <c r="AE97" s="10">
        <v>522</v>
      </c>
      <c r="AF97" s="10">
        <v>5756</v>
      </c>
      <c r="AG97" s="10">
        <v>39246</v>
      </c>
      <c r="AH97" s="10">
        <v>110547</v>
      </c>
      <c r="AI97" s="10">
        <v>111869</v>
      </c>
      <c r="AJ97" s="23">
        <f t="shared" si="9"/>
        <v>0.3550164183559934</v>
      </c>
      <c r="AK97" s="10">
        <v>12499</v>
      </c>
      <c r="AL97" s="10">
        <v>0</v>
      </c>
      <c r="AM97" s="10">
        <v>120984</v>
      </c>
      <c r="AN97" s="10">
        <v>0</v>
      </c>
      <c r="AO97" s="10">
        <v>12171</v>
      </c>
      <c r="AP97" s="10">
        <v>0</v>
      </c>
      <c r="AQ97" s="10">
        <v>0</v>
      </c>
      <c r="AR97" s="10">
        <v>0</v>
      </c>
      <c r="AS97" s="10">
        <v>537</v>
      </c>
      <c r="AT97" s="10">
        <v>325</v>
      </c>
      <c r="AU97" s="10">
        <v>-55</v>
      </c>
      <c r="AV97" s="10">
        <v>-52</v>
      </c>
      <c r="AW97" s="10">
        <v>-118</v>
      </c>
      <c r="AX97" s="10">
        <v>-2</v>
      </c>
      <c r="AY97" s="10">
        <f t="shared" si="10"/>
        <v>635</v>
      </c>
      <c r="AZ97" s="1">
        <v>0</v>
      </c>
      <c r="BA97" s="1">
        <v>60</v>
      </c>
      <c r="BB97" s="1">
        <v>3</v>
      </c>
      <c r="BC97" s="1">
        <v>16</v>
      </c>
      <c r="BD97" s="1">
        <v>39</v>
      </c>
    </row>
    <row r="98" spans="1:56" x14ac:dyDescent="0.25">
      <c r="A98" s="1">
        <v>10</v>
      </c>
      <c r="B98" s="1" t="s">
        <v>90</v>
      </c>
      <c r="C98" s="7" t="s">
        <v>506</v>
      </c>
      <c r="D98" s="1" t="s">
        <v>281</v>
      </c>
      <c r="E98" s="1" t="s">
        <v>278</v>
      </c>
      <c r="F98" s="7" t="s">
        <v>557</v>
      </c>
      <c r="G98" s="7" t="s">
        <v>280</v>
      </c>
      <c r="H98" s="10">
        <v>16143060</v>
      </c>
      <c r="I98" s="10">
        <v>755635</v>
      </c>
      <c r="J98" s="10">
        <v>6959856</v>
      </c>
      <c r="K98" s="10">
        <v>1761855</v>
      </c>
      <c r="L98" s="10">
        <v>4560017</v>
      </c>
      <c r="M98" s="10">
        <v>1337554</v>
      </c>
      <c r="N98" s="10">
        <v>0</v>
      </c>
      <c r="O98" s="10">
        <v>15489301</v>
      </c>
      <c r="P98" s="23">
        <v>0.22969999999999999</v>
      </c>
      <c r="Q98" s="10">
        <v>65311</v>
      </c>
      <c r="R98" s="27">
        <f>828553/15423990</f>
        <v>5.3718460657715676E-2</v>
      </c>
      <c r="S98" s="10">
        <v>825399</v>
      </c>
      <c r="T98" s="10">
        <v>0</v>
      </c>
      <c r="U98" s="10">
        <f>83441+6338+3312</f>
        <v>93091</v>
      </c>
      <c r="V98" s="10">
        <v>420118</v>
      </c>
      <c r="W98" s="10">
        <v>34192</v>
      </c>
      <c r="X98" s="10">
        <v>64548</v>
      </c>
      <c r="Y98" s="10">
        <v>80352</v>
      </c>
      <c r="Z98" s="10">
        <v>21660</v>
      </c>
      <c r="AA98" s="10">
        <v>27234</v>
      </c>
      <c r="AB98" s="10">
        <v>0</v>
      </c>
      <c r="AC98" s="10">
        <f>8054+17109+24119</f>
        <v>49282</v>
      </c>
      <c r="AD98" s="10">
        <v>3188</v>
      </c>
      <c r="AE98" s="10">
        <v>16397</v>
      </c>
      <c r="AF98" s="10">
        <v>9642</v>
      </c>
      <c r="AG98" s="10">
        <v>118500</v>
      </c>
      <c r="AH98" s="10">
        <v>821257</v>
      </c>
      <c r="AI98" s="10">
        <v>800718</v>
      </c>
      <c r="AJ98" s="23">
        <f t="shared" si="9"/>
        <v>0.14429100756523233</v>
      </c>
      <c r="AK98" s="10">
        <v>67111</v>
      </c>
      <c r="AL98" s="10">
        <v>0</v>
      </c>
      <c r="AM98" s="10">
        <v>126473</v>
      </c>
      <c r="AN98" s="10">
        <v>0</v>
      </c>
      <c r="AO98" s="10">
        <v>81285</v>
      </c>
      <c r="AP98" s="10">
        <v>0</v>
      </c>
      <c r="AQ98" s="10">
        <v>0</v>
      </c>
      <c r="AR98" s="10">
        <v>0</v>
      </c>
      <c r="AS98" s="10">
        <v>4366</v>
      </c>
      <c r="AT98" s="10">
        <v>2102</v>
      </c>
      <c r="AU98" s="10">
        <v>-363</v>
      </c>
      <c r="AV98" s="10">
        <v>-730</v>
      </c>
      <c r="AW98" s="10">
        <v>-767</v>
      </c>
      <c r="AX98" s="10">
        <f>48-1</f>
        <v>47</v>
      </c>
      <c r="AY98" s="10">
        <f t="shared" si="10"/>
        <v>4655</v>
      </c>
      <c r="AZ98" s="1">
        <v>0</v>
      </c>
      <c r="BA98" s="1" t="s">
        <v>405</v>
      </c>
      <c r="BB98" s="1" t="s">
        <v>405</v>
      </c>
      <c r="BC98" s="1" t="s">
        <v>405</v>
      </c>
      <c r="BD98" s="1" t="s">
        <v>405</v>
      </c>
    </row>
    <row r="99" spans="1:56" x14ac:dyDescent="0.25">
      <c r="A99" s="1">
        <v>10</v>
      </c>
      <c r="B99" s="1" t="s">
        <v>112</v>
      </c>
      <c r="C99" s="7" t="s">
        <v>457</v>
      </c>
      <c r="D99" s="1" t="s">
        <v>148</v>
      </c>
      <c r="E99" s="1" t="s">
        <v>278</v>
      </c>
      <c r="F99" s="7" t="s">
        <v>429</v>
      </c>
      <c r="G99" s="7" t="s">
        <v>280</v>
      </c>
      <c r="H99" s="10">
        <v>9453195</v>
      </c>
      <c r="I99" s="10">
        <v>361846</v>
      </c>
      <c r="J99" s="10">
        <v>5647801</v>
      </c>
      <c r="K99" s="10">
        <v>613161</v>
      </c>
      <c r="L99" s="10">
        <v>1429775</v>
      </c>
      <c r="M99" s="10">
        <v>333076</v>
      </c>
      <c r="N99" s="10">
        <v>16794</v>
      </c>
      <c r="O99" s="10">
        <v>8537280</v>
      </c>
      <c r="P99" s="23">
        <v>0.19</v>
      </c>
      <c r="Q99" s="10">
        <v>1900846</v>
      </c>
      <c r="R99" s="27">
        <f>496473/6619640</f>
        <v>7.4999999999999997E-2</v>
      </c>
      <c r="S99" s="10">
        <v>496673</v>
      </c>
      <c r="T99" s="10">
        <v>0</v>
      </c>
      <c r="U99" s="10">
        <f>50369+711</f>
        <v>51080</v>
      </c>
      <c r="V99" s="10">
        <v>202677</v>
      </c>
      <c r="W99" s="10">
        <v>15640</v>
      </c>
      <c r="X99" s="10">
        <v>16965</v>
      </c>
      <c r="Y99" s="10">
        <f>52522+4843</f>
        <v>57365</v>
      </c>
      <c r="Z99" s="10">
        <v>8236</v>
      </c>
      <c r="AA99" s="10">
        <v>16854</v>
      </c>
      <c r="AB99" s="10">
        <v>580</v>
      </c>
      <c r="AC99" s="10">
        <f>12564+19287+26646</f>
        <v>58497</v>
      </c>
      <c r="AD99" s="10">
        <v>4813</v>
      </c>
      <c r="AE99" s="10">
        <v>3418</v>
      </c>
      <c r="AF99" s="10">
        <v>3845</v>
      </c>
      <c r="AG99" s="10">
        <v>30591</v>
      </c>
      <c r="AH99" s="10">
        <v>459606</v>
      </c>
      <c r="AI99" s="10">
        <v>453199</v>
      </c>
      <c r="AJ99" s="23">
        <f t="shared" si="9"/>
        <v>6.6559183300479108E-2</v>
      </c>
      <c r="AK99" s="10">
        <v>59795</v>
      </c>
      <c r="AL99" s="10">
        <v>0</v>
      </c>
      <c r="AM99" s="10">
        <v>126473</v>
      </c>
      <c r="AN99" s="10">
        <v>0</v>
      </c>
      <c r="AO99" s="10">
        <v>46067</v>
      </c>
      <c r="AP99" s="10">
        <v>0</v>
      </c>
      <c r="AQ99" s="10">
        <v>0</v>
      </c>
      <c r="AR99" s="10">
        <v>0</v>
      </c>
      <c r="AS99" s="10">
        <v>1596</v>
      </c>
      <c r="AT99" s="10">
        <v>932</v>
      </c>
      <c r="AU99" s="10">
        <v>-69</v>
      </c>
      <c r="AV99" s="10">
        <v>-384</v>
      </c>
      <c r="AW99" s="10">
        <v>-301</v>
      </c>
      <c r="AX99" s="10">
        <v>32</v>
      </c>
      <c r="AY99" s="10">
        <f t="shared" si="10"/>
        <v>1806</v>
      </c>
      <c r="AZ99" s="1">
        <v>7</v>
      </c>
      <c r="BA99" s="1">
        <v>84</v>
      </c>
      <c r="BB99" s="1">
        <v>16</v>
      </c>
      <c r="BC99" s="1">
        <v>91</v>
      </c>
      <c r="BD99" s="1">
        <v>34</v>
      </c>
    </row>
    <row r="100" spans="1:56" x14ac:dyDescent="0.25">
      <c r="A100" s="1">
        <v>10</v>
      </c>
      <c r="B100" s="1" t="s">
        <v>125</v>
      </c>
      <c r="C100" s="7" t="s">
        <v>378</v>
      </c>
      <c r="D100" s="1" t="s">
        <v>463</v>
      </c>
      <c r="E100" s="1" t="s">
        <v>276</v>
      </c>
      <c r="F100" s="7" t="s">
        <v>111</v>
      </c>
      <c r="G100" s="7" t="s">
        <v>277</v>
      </c>
      <c r="H100" s="10">
        <v>3496620</v>
      </c>
      <c r="I100" s="10">
        <v>42767</v>
      </c>
      <c r="J100" s="10">
        <v>1377885</v>
      </c>
      <c r="K100" s="10">
        <v>314571</v>
      </c>
      <c r="L100" s="10">
        <v>989834</v>
      </c>
      <c r="M100" s="10">
        <v>391436</v>
      </c>
      <c r="N100" s="10">
        <v>0</v>
      </c>
      <c r="O100" s="10">
        <v>3416666</v>
      </c>
      <c r="P100" s="23">
        <v>5.3999999999999999E-2</v>
      </c>
      <c r="Q100" s="10">
        <v>0</v>
      </c>
      <c r="R100" s="27">
        <f>341667/3416666</f>
        <v>0.10000011707319358</v>
      </c>
      <c r="S100" s="10">
        <v>340802</v>
      </c>
      <c r="T100" s="10">
        <v>0</v>
      </c>
      <c r="U100" s="10">
        <f>7332+383</f>
        <v>7715</v>
      </c>
      <c r="V100" s="10">
        <v>61075</v>
      </c>
      <c r="W100" s="10">
        <v>5509</v>
      </c>
      <c r="X100" s="10">
        <v>6930</v>
      </c>
      <c r="Y100" s="10">
        <f>23125+1360</f>
        <v>24485</v>
      </c>
      <c r="Z100" s="10">
        <v>0</v>
      </c>
      <c r="AA100" s="10">
        <v>48904</v>
      </c>
      <c r="AB100" s="10">
        <v>123</v>
      </c>
      <c r="AC100" s="10">
        <f>2409+9805+2205</f>
        <v>14419</v>
      </c>
      <c r="AD100" s="10">
        <v>2407</v>
      </c>
      <c r="AE100" s="10">
        <v>0</v>
      </c>
      <c r="AF100" s="10">
        <v>40757</v>
      </c>
      <c r="AG100" s="10">
        <v>1973</v>
      </c>
      <c r="AH100" s="10">
        <v>218750</v>
      </c>
      <c r="AI100" s="10">
        <v>216343</v>
      </c>
      <c r="AJ100" s="23">
        <f t="shared" si="9"/>
        <v>9.0194285714285706E-3</v>
      </c>
      <c r="AK100" s="10">
        <v>21943</v>
      </c>
      <c r="AL100" s="10">
        <v>0</v>
      </c>
      <c r="AM100" s="10">
        <v>126473</v>
      </c>
      <c r="AN100" s="10">
        <v>0</v>
      </c>
      <c r="AO100" s="10">
        <v>28445</v>
      </c>
      <c r="AP100" s="10">
        <v>0</v>
      </c>
      <c r="AQ100" s="10">
        <v>0</v>
      </c>
      <c r="AR100" s="10">
        <v>0</v>
      </c>
      <c r="AS100" s="10">
        <v>1031</v>
      </c>
      <c r="AT100" s="10">
        <v>774</v>
      </c>
      <c r="AU100" s="10">
        <v>-105</v>
      </c>
      <c r="AV100" s="10">
        <v>-93</v>
      </c>
      <c r="AW100" s="10">
        <v>-189</v>
      </c>
      <c r="AX100" s="10">
        <v>14</v>
      </c>
      <c r="AY100" s="10">
        <f t="shared" si="10"/>
        <v>1432</v>
      </c>
      <c r="AZ100" s="1">
        <v>1</v>
      </c>
      <c r="BA100" s="1" t="s">
        <v>405</v>
      </c>
      <c r="BB100" s="1" t="s">
        <v>405</v>
      </c>
      <c r="BC100" s="1" t="s">
        <v>405</v>
      </c>
      <c r="BD100" s="1" t="s">
        <v>405</v>
      </c>
    </row>
    <row r="101" spans="1:56" x14ac:dyDescent="0.25">
      <c r="A101" s="1">
        <v>10</v>
      </c>
      <c r="B101" s="1" t="s">
        <v>162</v>
      </c>
      <c r="C101" s="7" t="s">
        <v>182</v>
      </c>
      <c r="D101" s="1" t="s">
        <v>585</v>
      </c>
      <c r="E101" s="1" t="s">
        <v>278</v>
      </c>
      <c r="F101" s="7" t="s">
        <v>557</v>
      </c>
      <c r="G101" s="7" t="s">
        <v>280</v>
      </c>
      <c r="H101" s="10">
        <v>3274930</v>
      </c>
      <c r="I101" s="10">
        <v>21688</v>
      </c>
      <c r="J101" s="10">
        <v>1858153</v>
      </c>
      <c r="K101" s="10">
        <v>74771</v>
      </c>
      <c r="L101" s="10">
        <v>400862</v>
      </c>
      <c r="M101" s="10">
        <v>446491</v>
      </c>
      <c r="N101" s="10">
        <v>0</v>
      </c>
      <c r="O101" s="10">
        <v>3063963</v>
      </c>
      <c r="P101" s="23">
        <v>0.11</v>
      </c>
      <c r="Q101" s="10">
        <v>0</v>
      </c>
      <c r="R101" s="27">
        <f>275704/3063963</f>
        <v>8.9982809844635858E-2</v>
      </c>
      <c r="S101" s="10">
        <v>275992</v>
      </c>
      <c r="T101" s="10">
        <v>0</v>
      </c>
      <c r="U101" s="10">
        <f>2184+203</f>
        <v>2387</v>
      </c>
      <c r="V101" s="10">
        <v>63163</v>
      </c>
      <c r="W101" s="10">
        <v>4676</v>
      </c>
      <c r="X101" s="10">
        <v>4590</v>
      </c>
      <c r="Y101" s="10">
        <f>7695+2588</f>
        <v>10283</v>
      </c>
      <c r="Z101" s="10">
        <v>679</v>
      </c>
      <c r="AA101" s="10">
        <v>5603</v>
      </c>
      <c r="AB101" s="10">
        <v>0</v>
      </c>
      <c r="AC101" s="10">
        <f>3140+11474+7340</f>
        <v>21954</v>
      </c>
      <c r="AD101" s="10">
        <v>2157</v>
      </c>
      <c r="AE101" s="10">
        <v>1973</v>
      </c>
      <c r="AF101" s="10">
        <v>20358</v>
      </c>
      <c r="AG101" s="10">
        <v>41945</v>
      </c>
      <c r="AH101" s="10">
        <v>149154</v>
      </c>
      <c r="AI101" s="10">
        <v>148088</v>
      </c>
      <c r="AJ101" s="23">
        <f t="shared" si="9"/>
        <v>0.28121941081030344</v>
      </c>
      <c r="AK101" s="10">
        <v>10315</v>
      </c>
      <c r="AL101" s="10">
        <v>0</v>
      </c>
      <c r="AM101" s="10">
        <v>126470</v>
      </c>
      <c r="AN101" s="10">
        <v>0</v>
      </c>
      <c r="AO101" s="10">
        <v>19903</v>
      </c>
      <c r="AP101" s="10">
        <v>0</v>
      </c>
      <c r="AQ101" s="10">
        <v>0</v>
      </c>
      <c r="AR101" s="10">
        <v>0</v>
      </c>
      <c r="AS101" s="10">
        <v>697</v>
      </c>
      <c r="AT101" s="10">
        <v>443</v>
      </c>
      <c r="AU101" s="10">
        <v>-77</v>
      </c>
      <c r="AV101" s="10">
        <v>-60</v>
      </c>
      <c r="AW101" s="10">
        <v>-67</v>
      </c>
      <c r="AX101" s="10">
        <f>1+11-1</f>
        <v>11</v>
      </c>
      <c r="AY101" s="10">
        <f t="shared" si="10"/>
        <v>947</v>
      </c>
      <c r="AZ101" s="1">
        <v>11</v>
      </c>
      <c r="BA101" s="1" t="s">
        <v>405</v>
      </c>
      <c r="BB101" s="1" t="s">
        <v>405</v>
      </c>
      <c r="BC101" s="1" t="s">
        <v>405</v>
      </c>
      <c r="BD101" s="1" t="s">
        <v>405</v>
      </c>
    </row>
    <row r="102" spans="1:56" x14ac:dyDescent="0.25">
      <c r="A102" s="1">
        <v>10</v>
      </c>
      <c r="B102" s="1" t="s">
        <v>232</v>
      </c>
      <c r="C102" s="7" t="s">
        <v>291</v>
      </c>
      <c r="D102" s="1" t="s">
        <v>455</v>
      </c>
      <c r="E102" s="1" t="s">
        <v>276</v>
      </c>
      <c r="F102" s="7" t="s">
        <v>111</v>
      </c>
      <c r="G102" s="7" t="s">
        <v>277</v>
      </c>
      <c r="H102" s="10">
        <v>1222379</v>
      </c>
      <c r="I102" s="10">
        <v>9826</v>
      </c>
      <c r="J102" s="10">
        <v>419211</v>
      </c>
      <c r="K102" s="10">
        <v>103348</v>
      </c>
      <c r="L102" s="10">
        <v>504815</v>
      </c>
      <c r="M102" s="10">
        <v>47901</v>
      </c>
      <c r="N102" s="10">
        <v>0</v>
      </c>
      <c r="O102" s="10">
        <v>1194270</v>
      </c>
      <c r="P102" s="23">
        <v>3.9E-2</v>
      </c>
      <c r="Q102" s="10">
        <v>0</v>
      </c>
      <c r="R102" s="27">
        <f>119427/1194270</f>
        <v>0.1</v>
      </c>
      <c r="S102" s="10">
        <v>117625</v>
      </c>
      <c r="T102" s="10">
        <v>0</v>
      </c>
      <c r="U102" s="10">
        <f>2911+254</f>
        <v>3165</v>
      </c>
      <c r="V102" s="10">
        <v>27004</v>
      </c>
      <c r="W102" s="10">
        <v>2118</v>
      </c>
      <c r="X102" s="10">
        <v>1616</v>
      </c>
      <c r="Y102" s="10">
        <f>8500+3679</f>
        <v>12179</v>
      </c>
      <c r="Z102" s="10">
        <v>0</v>
      </c>
      <c r="AA102" s="10">
        <v>2188</v>
      </c>
      <c r="AB102" s="10">
        <v>0</v>
      </c>
      <c r="AC102" s="10">
        <f>1727+3444+1616</f>
        <v>6787</v>
      </c>
      <c r="AD102" s="10">
        <v>2459</v>
      </c>
      <c r="AE102" s="10">
        <v>0</v>
      </c>
      <c r="AF102" s="10">
        <v>2019</v>
      </c>
      <c r="AG102" s="10">
        <v>28753</v>
      </c>
      <c r="AH102" s="10">
        <v>62542</v>
      </c>
      <c r="AI102" s="10">
        <v>62784</v>
      </c>
      <c r="AJ102" s="23">
        <f t="shared" si="9"/>
        <v>0.45973905535480158</v>
      </c>
      <c r="AK102" s="10">
        <v>3030</v>
      </c>
      <c r="AL102" s="10">
        <f>250+251</f>
        <v>501</v>
      </c>
      <c r="AM102" s="10">
        <v>60633</v>
      </c>
      <c r="AN102" s="10">
        <v>5</v>
      </c>
      <c r="AO102" s="10">
        <v>2209</v>
      </c>
      <c r="AP102" s="10">
        <v>0</v>
      </c>
      <c r="AQ102" s="10">
        <v>0</v>
      </c>
      <c r="AR102" s="10">
        <v>0</v>
      </c>
      <c r="AS102" s="10">
        <v>384</v>
      </c>
      <c r="AT102" s="10">
        <v>185</v>
      </c>
      <c r="AU102" s="10">
        <v>-22</v>
      </c>
      <c r="AV102" s="10">
        <v>-50</v>
      </c>
      <c r="AW102" s="10">
        <v>-80</v>
      </c>
      <c r="AX102" s="10">
        <f>8-1</f>
        <v>7</v>
      </c>
      <c r="AY102" s="10">
        <f t="shared" si="10"/>
        <v>424</v>
      </c>
      <c r="AZ102" s="1">
        <v>0</v>
      </c>
      <c r="BA102" s="1">
        <v>12</v>
      </c>
      <c r="BB102" s="1">
        <v>10</v>
      </c>
      <c r="BC102" s="1">
        <v>58</v>
      </c>
      <c r="BD102" s="1">
        <v>0</v>
      </c>
    </row>
    <row r="103" spans="1:56" x14ac:dyDescent="0.25">
      <c r="A103" s="1">
        <v>10</v>
      </c>
      <c r="B103" s="1" t="s">
        <v>237</v>
      </c>
      <c r="C103" s="7" t="s">
        <v>296</v>
      </c>
      <c r="D103" s="1" t="s">
        <v>563</v>
      </c>
      <c r="E103" s="1" t="s">
        <v>276</v>
      </c>
      <c r="F103" s="7" t="s">
        <v>111</v>
      </c>
      <c r="G103" s="7" t="s">
        <v>277</v>
      </c>
      <c r="H103" s="10">
        <v>2109911</v>
      </c>
      <c r="I103" s="10">
        <v>68897</v>
      </c>
      <c r="J103" s="10">
        <v>521561</v>
      </c>
      <c r="K103" s="10">
        <v>394904</v>
      </c>
      <c r="L103" s="10">
        <v>852662</v>
      </c>
      <c r="M103" s="10">
        <v>64260</v>
      </c>
      <c r="N103" s="10">
        <v>0</v>
      </c>
      <c r="O103" s="10">
        <v>2039102</v>
      </c>
      <c r="P103" s="23">
        <v>6.8599999999999994E-2</v>
      </c>
      <c r="Q103" s="10">
        <v>0</v>
      </c>
      <c r="R103" s="27">
        <f>203849/2038491</f>
        <v>9.9999950944105229E-2</v>
      </c>
      <c r="S103" s="10">
        <v>203751</v>
      </c>
      <c r="T103" s="10">
        <v>0</v>
      </c>
      <c r="U103" s="10">
        <f>3380+265</f>
        <v>3645</v>
      </c>
      <c r="V103" s="10">
        <v>41673</v>
      </c>
      <c r="W103" s="10">
        <v>3441</v>
      </c>
      <c r="X103" s="10">
        <v>6570</v>
      </c>
      <c r="Y103" s="10">
        <f>5525+1665</f>
        <v>7190</v>
      </c>
      <c r="Z103" s="10">
        <v>0</v>
      </c>
      <c r="AA103" s="10">
        <v>13403</v>
      </c>
      <c r="AB103" s="10">
        <v>1605</v>
      </c>
      <c r="AC103" s="10">
        <f>3112+4395+2411</f>
        <v>9918</v>
      </c>
      <c r="AD103" s="10">
        <v>2450</v>
      </c>
      <c r="AE103" s="10">
        <v>0</v>
      </c>
      <c r="AF103" s="10">
        <v>7556</v>
      </c>
      <c r="AG103" s="10">
        <v>43471</v>
      </c>
      <c r="AH103" s="10">
        <v>104409</v>
      </c>
      <c r="AI103" s="10">
        <v>108314</v>
      </c>
      <c r="AJ103" s="23">
        <f t="shared" si="9"/>
        <v>0.41635299638920015</v>
      </c>
      <c r="AK103" s="10">
        <v>10769</v>
      </c>
      <c r="AL103" s="10">
        <v>0</v>
      </c>
      <c r="AM103" s="10">
        <v>101875</v>
      </c>
      <c r="AN103" s="10">
        <v>0</v>
      </c>
      <c r="AO103" s="10">
        <v>11881</v>
      </c>
      <c r="AP103" s="10">
        <v>0</v>
      </c>
      <c r="AQ103" s="10">
        <v>0</v>
      </c>
      <c r="AR103" s="10">
        <v>0</v>
      </c>
      <c r="AS103" s="10">
        <v>339</v>
      </c>
      <c r="AT103" s="10">
        <v>225</v>
      </c>
      <c r="AU103" s="10">
        <v>-61</v>
      </c>
      <c r="AV103" s="10">
        <v>-52</v>
      </c>
      <c r="AW103" s="10">
        <v>-65</v>
      </c>
      <c r="AX103" s="10">
        <f>18+4</f>
        <v>22</v>
      </c>
      <c r="AY103" s="10">
        <f t="shared" si="10"/>
        <v>408</v>
      </c>
      <c r="AZ103" s="1">
        <v>0</v>
      </c>
      <c r="BA103" s="1">
        <v>36</v>
      </c>
      <c r="BB103" s="1">
        <v>12</v>
      </c>
      <c r="BC103" s="1">
        <v>17</v>
      </c>
      <c r="BD103" s="1">
        <v>0</v>
      </c>
    </row>
    <row r="104" spans="1:56" x14ac:dyDescent="0.25">
      <c r="A104" s="1">
        <v>10</v>
      </c>
      <c r="B104" s="1" t="s">
        <v>304</v>
      </c>
      <c r="C104" s="7" t="s">
        <v>506</v>
      </c>
      <c r="D104" s="1" t="s">
        <v>71</v>
      </c>
      <c r="E104" s="1" t="s">
        <v>276</v>
      </c>
      <c r="F104" s="7" t="s">
        <v>557</v>
      </c>
      <c r="G104" s="7" t="s">
        <v>277</v>
      </c>
      <c r="H104" s="10">
        <v>3417985</v>
      </c>
      <c r="I104" s="10">
        <v>24629</v>
      </c>
      <c r="J104" s="10">
        <v>2105357</v>
      </c>
      <c r="K104" s="10">
        <v>194699</v>
      </c>
      <c r="L104" s="10">
        <v>529306</v>
      </c>
      <c r="M104" s="10">
        <v>313510</v>
      </c>
      <c r="N104" s="10">
        <v>27904</v>
      </c>
      <c r="O104" s="10">
        <v>3389034</v>
      </c>
      <c r="P104" s="23">
        <v>4.9000000000000002E-2</v>
      </c>
      <c r="Q104" s="10">
        <v>545753</v>
      </c>
      <c r="R104" s="27">
        <f>218178/2816042</f>
        <v>7.7476827405273077E-2</v>
      </c>
      <c r="S104" s="10">
        <v>218178</v>
      </c>
      <c r="T104" s="10">
        <v>0</v>
      </c>
      <c r="U104" s="10">
        <f>8518+890</f>
        <v>9408</v>
      </c>
      <c r="V104" s="10">
        <v>59887</v>
      </c>
      <c r="W104" s="10">
        <v>4391</v>
      </c>
      <c r="X104" s="10">
        <v>144</v>
      </c>
      <c r="Y104" s="10">
        <v>5984</v>
      </c>
      <c r="Z104" s="10">
        <v>-12</v>
      </c>
      <c r="AA104" s="10">
        <v>5441</v>
      </c>
      <c r="AB104" s="10">
        <v>0</v>
      </c>
      <c r="AC104" s="10">
        <f>2910+11355+6709</f>
        <v>20974</v>
      </c>
      <c r="AD104" s="10">
        <v>2773</v>
      </c>
      <c r="AE104" s="10">
        <v>1788</v>
      </c>
      <c r="AF104" s="10">
        <v>8483</v>
      </c>
      <c r="AG104" s="10">
        <v>111295</v>
      </c>
      <c r="AH104" s="10">
        <v>121032</v>
      </c>
      <c r="AI104" s="10">
        <v>124112</v>
      </c>
      <c r="AJ104" s="23">
        <f t="shared" si="9"/>
        <v>0.91955020159957701</v>
      </c>
      <c r="AK104" s="10">
        <v>20129</v>
      </c>
      <c r="AL104" s="10">
        <v>330</v>
      </c>
      <c r="AM104" s="10">
        <v>126473</v>
      </c>
      <c r="AN104" s="10">
        <v>0</v>
      </c>
      <c r="AO104" s="10">
        <v>28647</v>
      </c>
      <c r="AP104" s="10">
        <v>8072</v>
      </c>
      <c r="AQ104" s="10">
        <v>8072</v>
      </c>
      <c r="AR104" s="10">
        <v>0</v>
      </c>
      <c r="AS104" s="10">
        <v>566</v>
      </c>
      <c r="AT104" s="10">
        <v>366</v>
      </c>
      <c r="AU104" s="10">
        <v>-92</v>
      </c>
      <c r="AV104" s="10">
        <v>-97</v>
      </c>
      <c r="AW104" s="10">
        <v>-98</v>
      </c>
      <c r="AX104" s="10">
        <f>4-3</f>
        <v>1</v>
      </c>
      <c r="AY104" s="10">
        <f t="shared" si="10"/>
        <v>646</v>
      </c>
      <c r="AZ104" s="1">
        <v>5</v>
      </c>
      <c r="BA104" s="1" t="s">
        <v>405</v>
      </c>
      <c r="BB104" s="1" t="s">
        <v>405</v>
      </c>
      <c r="BC104" s="1" t="s">
        <v>405</v>
      </c>
      <c r="BD104" s="1" t="s">
        <v>405</v>
      </c>
    </row>
    <row r="105" spans="1:56" x14ac:dyDescent="0.25">
      <c r="A105" s="1">
        <v>10</v>
      </c>
      <c r="B105" s="1" t="s">
        <v>368</v>
      </c>
      <c r="C105" s="7" t="s">
        <v>291</v>
      </c>
      <c r="D105" s="1" t="s">
        <v>69</v>
      </c>
      <c r="E105" s="1" t="s">
        <v>276</v>
      </c>
      <c r="F105" s="7" t="s">
        <v>557</v>
      </c>
      <c r="G105" s="7" t="s">
        <v>277</v>
      </c>
      <c r="H105" s="10">
        <v>13347967</v>
      </c>
      <c r="I105" s="10">
        <v>314850</v>
      </c>
      <c r="J105" s="10">
        <v>8239783</v>
      </c>
      <c r="K105" s="10">
        <v>466112</v>
      </c>
      <c r="L105" s="10">
        <v>1998463</v>
      </c>
      <c r="M105" s="10">
        <v>1046706</v>
      </c>
      <c r="N105" s="10">
        <v>65778</v>
      </c>
      <c r="O105" s="10">
        <v>12966208</v>
      </c>
      <c r="P105" s="23">
        <v>2.1399999999999999E-2</v>
      </c>
      <c r="Q105" s="10">
        <v>3318800</v>
      </c>
      <c r="R105" s="27">
        <f>731338/9581630</f>
        <v>7.6327096746586956E-2</v>
      </c>
      <c r="S105" s="10">
        <v>670126</v>
      </c>
      <c r="T105" s="10">
        <v>0</v>
      </c>
      <c r="U105" s="10">
        <f>37262+965+489</f>
        <v>38716</v>
      </c>
      <c r="V105" s="10">
        <v>368251</v>
      </c>
      <c r="W105" s="10">
        <v>31382</v>
      </c>
      <c r="X105" s="10">
        <v>53952</v>
      </c>
      <c r="Y105" s="10">
        <f>37183+4317</f>
        <v>41500</v>
      </c>
      <c r="Z105" s="10">
        <v>9700</v>
      </c>
      <c r="AA105" s="10">
        <v>15816</v>
      </c>
      <c r="AB105" s="10">
        <v>0</v>
      </c>
      <c r="AC105" s="10">
        <f>9202+24880+23241</f>
        <v>57323</v>
      </c>
      <c r="AD105" s="10">
        <v>10391</v>
      </c>
      <c r="AE105" s="10">
        <v>37177</v>
      </c>
      <c r="AF105" s="10">
        <v>5384</v>
      </c>
      <c r="AG105" s="10">
        <v>37183</v>
      </c>
      <c r="AH105" s="10">
        <v>680327</v>
      </c>
      <c r="AI105" s="10">
        <v>687315</v>
      </c>
      <c r="AJ105" s="23">
        <f t="shared" si="9"/>
        <v>5.4654599920332426E-2</v>
      </c>
      <c r="AK105" s="10">
        <v>83101</v>
      </c>
      <c r="AL105" s="10">
        <v>329</v>
      </c>
      <c r="AM105" s="10">
        <v>126473</v>
      </c>
      <c r="AN105" s="10">
        <v>0</v>
      </c>
      <c r="AO105" s="10">
        <v>101738</v>
      </c>
      <c r="AP105" s="10">
        <v>0</v>
      </c>
      <c r="AQ105" s="10">
        <v>0</v>
      </c>
      <c r="AR105" s="10">
        <v>0</v>
      </c>
      <c r="AS105" s="10">
        <v>2246</v>
      </c>
      <c r="AT105" s="10">
        <v>1337</v>
      </c>
      <c r="AU105" s="10">
        <v>-213</v>
      </c>
      <c r="AV105" s="10">
        <v>-569</v>
      </c>
      <c r="AW105" s="10">
        <v>-373</v>
      </c>
      <c r="AX105" s="10">
        <f>11-1-2</f>
        <v>8</v>
      </c>
      <c r="AY105" s="10">
        <f t="shared" si="10"/>
        <v>2436</v>
      </c>
      <c r="AZ105" s="1">
        <v>5</v>
      </c>
      <c r="BA105" s="1">
        <v>129</v>
      </c>
      <c r="BB105" s="1">
        <v>56</v>
      </c>
      <c r="BC105" s="1">
        <v>179</v>
      </c>
      <c r="BD105" s="1">
        <v>0</v>
      </c>
    </row>
    <row r="106" spans="1:56" x14ac:dyDescent="0.25">
      <c r="A106" s="1">
        <v>10</v>
      </c>
      <c r="B106" s="1" t="s">
        <v>388</v>
      </c>
      <c r="C106" s="7" t="s">
        <v>582</v>
      </c>
      <c r="D106" s="1" t="s">
        <v>380</v>
      </c>
      <c r="E106" s="1" t="s">
        <v>278</v>
      </c>
      <c r="F106" s="7" t="s">
        <v>429</v>
      </c>
      <c r="G106" s="7" t="s">
        <v>280</v>
      </c>
      <c r="H106" s="10">
        <v>4898808</v>
      </c>
      <c r="I106" s="10">
        <v>193974</v>
      </c>
      <c r="J106" s="10">
        <v>3353520</v>
      </c>
      <c r="K106" s="10">
        <v>196235</v>
      </c>
      <c r="L106" s="10">
        <v>516745</v>
      </c>
      <c r="M106" s="10">
        <v>303488</v>
      </c>
      <c r="N106" s="10">
        <v>0</v>
      </c>
      <c r="O106" s="10">
        <v>4704800</v>
      </c>
      <c r="P106" s="23">
        <v>7.0000000000000007E-2</v>
      </c>
      <c r="Q106" s="10">
        <v>1558391</v>
      </c>
      <c r="R106" s="27">
        <f>314576/3145764</f>
        <v>9.9999872844879656E-2</v>
      </c>
      <c r="S106" s="10">
        <v>305132</v>
      </c>
      <c r="T106" s="10">
        <v>0</v>
      </c>
      <c r="U106" s="10">
        <f>7559+575+310</f>
        <v>8444</v>
      </c>
      <c r="V106" s="10">
        <v>96405</v>
      </c>
      <c r="W106" s="10">
        <v>8919</v>
      </c>
      <c r="X106" s="10">
        <v>5022</v>
      </c>
      <c r="Y106" s="10">
        <f>10138+2513</f>
        <v>12651</v>
      </c>
      <c r="Z106" s="10">
        <v>0</v>
      </c>
      <c r="AA106" s="10">
        <v>4007</v>
      </c>
      <c r="AB106" s="10">
        <v>891</v>
      </c>
      <c r="AC106" s="10">
        <f>4734+8370+10405</f>
        <v>23509</v>
      </c>
      <c r="AD106" s="10">
        <v>0</v>
      </c>
      <c r="AE106" s="10">
        <v>4571</v>
      </c>
      <c r="AF106" s="10">
        <v>11806</v>
      </c>
      <c r="AG106" s="10">
        <v>49069</v>
      </c>
      <c r="AH106" s="10">
        <v>186825</v>
      </c>
      <c r="AI106" s="10">
        <v>189218</v>
      </c>
      <c r="AJ106" s="23">
        <f t="shared" si="9"/>
        <v>0.26264686203666532</v>
      </c>
      <c r="AK106" s="10">
        <v>25281</v>
      </c>
      <c r="AL106" s="10">
        <v>0</v>
      </c>
      <c r="AM106" s="10">
        <v>126473</v>
      </c>
      <c r="AN106" s="10">
        <v>0</v>
      </c>
      <c r="AO106" s="10">
        <v>25560</v>
      </c>
      <c r="AP106" s="10">
        <v>0</v>
      </c>
      <c r="AQ106" s="10">
        <v>0</v>
      </c>
      <c r="AR106" s="10">
        <v>0</v>
      </c>
      <c r="AS106" s="10">
        <v>710</v>
      </c>
      <c r="AT106" s="10">
        <v>391</v>
      </c>
      <c r="AU106" s="10">
        <v>-56</v>
      </c>
      <c r="AV106" s="10">
        <v>-107</v>
      </c>
      <c r="AW106" s="10">
        <v>-119</v>
      </c>
      <c r="AX106" s="10">
        <f>14-1</f>
        <v>13</v>
      </c>
      <c r="AY106" s="10">
        <f t="shared" si="10"/>
        <v>832</v>
      </c>
      <c r="AZ106" s="1">
        <v>8</v>
      </c>
      <c r="BA106" s="1">
        <v>42</v>
      </c>
      <c r="BB106" s="1">
        <v>7</v>
      </c>
      <c r="BC106" s="1">
        <v>30</v>
      </c>
      <c r="BD106" s="1">
        <v>40</v>
      </c>
    </row>
    <row r="107" spans="1:56" x14ac:dyDescent="0.25">
      <c r="A107" s="1">
        <v>10</v>
      </c>
      <c r="B107" s="1" t="s">
        <v>400</v>
      </c>
      <c r="C107" s="7" t="s">
        <v>506</v>
      </c>
      <c r="D107" s="1" t="s">
        <v>203</v>
      </c>
      <c r="E107" s="1" t="s">
        <v>278</v>
      </c>
      <c r="F107" s="7" t="s">
        <v>557</v>
      </c>
      <c r="G107" s="7" t="s">
        <v>280</v>
      </c>
      <c r="H107" s="10">
        <v>2582811</v>
      </c>
      <c r="I107" s="10">
        <v>198949</v>
      </c>
      <c r="J107" s="10">
        <v>1326348</v>
      </c>
      <c r="K107" s="10">
        <v>98860</v>
      </c>
      <c r="L107" s="10">
        <v>465258</v>
      </c>
      <c r="M107" s="10">
        <v>252837</v>
      </c>
      <c r="N107" s="10">
        <v>4979</v>
      </c>
      <c r="O107" s="10">
        <v>2367001</v>
      </c>
      <c r="P107" s="23">
        <v>9.1999999999999998E-2</v>
      </c>
      <c r="Q107" s="10">
        <v>0</v>
      </c>
      <c r="R107" s="27">
        <f>235777/2357767</f>
        <v>0.10000012723903592</v>
      </c>
      <c r="S107" s="10">
        <v>198260</v>
      </c>
      <c r="T107" s="10">
        <v>0</v>
      </c>
      <c r="U107" s="10">
        <f>9143+112</f>
        <v>9255</v>
      </c>
      <c r="V107" s="10">
        <v>48714</v>
      </c>
      <c r="W107" s="10">
        <v>4703</v>
      </c>
      <c r="X107" s="10">
        <v>2095</v>
      </c>
      <c r="Y107" s="10">
        <f>7888+1301</f>
        <v>9189</v>
      </c>
      <c r="Z107" s="10">
        <v>1980</v>
      </c>
      <c r="AA107" s="10">
        <v>4523</v>
      </c>
      <c r="AB107" s="10">
        <v>1045</v>
      </c>
      <c r="AC107" s="10">
        <f>2032+10030+10257</f>
        <v>22319</v>
      </c>
      <c r="AD107" s="10">
        <v>3364</v>
      </c>
      <c r="AE107" s="10">
        <v>4735</v>
      </c>
      <c r="AF107" s="10">
        <v>8045</v>
      </c>
      <c r="AG107" s="10">
        <v>2171</v>
      </c>
      <c r="AH107" s="10">
        <v>124612</v>
      </c>
      <c r="AI107" s="10">
        <v>126688</v>
      </c>
      <c r="AJ107" s="23">
        <f t="shared" si="9"/>
        <v>1.7422078130517125E-2</v>
      </c>
      <c r="AK107" s="10">
        <v>0</v>
      </c>
      <c r="AL107" s="10">
        <v>0</v>
      </c>
      <c r="AM107" s="10">
        <v>92148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443</v>
      </c>
      <c r="AT107" s="10">
        <v>285</v>
      </c>
      <c r="AU107" s="10">
        <v>-35</v>
      </c>
      <c r="AV107" s="10">
        <v>-35</v>
      </c>
      <c r="AW107" s="10">
        <v>-36</v>
      </c>
      <c r="AX107" s="10">
        <v>-2</v>
      </c>
      <c r="AY107" s="10">
        <f t="shared" si="10"/>
        <v>620</v>
      </c>
      <c r="AZ107" s="1">
        <v>24</v>
      </c>
      <c r="BA107" s="1" t="s">
        <v>405</v>
      </c>
      <c r="BB107" s="1" t="s">
        <v>405</v>
      </c>
      <c r="BC107" s="1" t="s">
        <v>405</v>
      </c>
      <c r="BD107" s="1" t="s">
        <v>405</v>
      </c>
    </row>
    <row r="108" spans="1:56" x14ac:dyDescent="0.25">
      <c r="A108" s="1">
        <v>10</v>
      </c>
      <c r="B108" s="1" t="s">
        <v>515</v>
      </c>
      <c r="C108" s="7" t="s">
        <v>155</v>
      </c>
      <c r="D108" s="1" t="s">
        <v>321</v>
      </c>
      <c r="E108" s="1" t="s">
        <v>278</v>
      </c>
      <c r="F108" s="7" t="s">
        <v>429</v>
      </c>
      <c r="G108" s="7" t="s">
        <v>280</v>
      </c>
      <c r="H108" s="10">
        <v>1351297</v>
      </c>
      <c r="I108" s="10">
        <v>24332</v>
      </c>
      <c r="J108" s="10">
        <v>610632</v>
      </c>
      <c r="K108" s="10">
        <v>104186</v>
      </c>
      <c r="L108" s="10">
        <v>298798</v>
      </c>
      <c r="M108" s="10">
        <v>111963</v>
      </c>
      <c r="N108" s="10">
        <v>0</v>
      </c>
      <c r="O108" s="10">
        <v>1246490</v>
      </c>
      <c r="P108" s="23">
        <v>0.17</v>
      </c>
      <c r="Q108" s="10">
        <v>0</v>
      </c>
      <c r="R108" s="27">
        <f>118773/1244563</f>
        <v>9.5433497540903911E-2</v>
      </c>
      <c r="S108" s="10">
        <v>120774</v>
      </c>
      <c r="T108" s="10">
        <v>17332</v>
      </c>
      <c r="U108" s="10">
        <f>2039+140+183</f>
        <v>2362</v>
      </c>
      <c r="V108" s="10">
        <v>26573</v>
      </c>
      <c r="W108" s="10">
        <v>0</v>
      </c>
      <c r="X108" s="10">
        <v>0</v>
      </c>
      <c r="Y108" s="10">
        <f>6000+814</f>
        <v>6814</v>
      </c>
      <c r="Z108" s="10">
        <v>0</v>
      </c>
      <c r="AA108" s="10">
        <v>1530</v>
      </c>
      <c r="AB108" s="10">
        <v>0</v>
      </c>
      <c r="AC108" s="10">
        <f>1160+3434+2395</f>
        <v>6989</v>
      </c>
      <c r="AD108" s="10">
        <v>1764</v>
      </c>
      <c r="AE108" s="10">
        <v>1141</v>
      </c>
      <c r="AF108" s="10">
        <v>8054</v>
      </c>
      <c r="AG108" s="10">
        <v>26573</v>
      </c>
      <c r="AH108" s="10">
        <v>58976</v>
      </c>
      <c r="AI108" s="10">
        <v>62668</v>
      </c>
      <c r="AJ108" s="23">
        <f t="shared" ref="AJ108:AJ139" si="11">AG108/AH108</f>
        <v>0.45057311448724907</v>
      </c>
      <c r="AK108" s="10">
        <v>4662</v>
      </c>
      <c r="AL108" s="10">
        <v>0</v>
      </c>
      <c r="AM108" s="10">
        <v>65000</v>
      </c>
      <c r="AN108" s="10">
        <v>0</v>
      </c>
      <c r="AO108" s="10">
        <v>3902</v>
      </c>
      <c r="AP108" s="10">
        <v>0</v>
      </c>
      <c r="AQ108" s="10">
        <v>0</v>
      </c>
      <c r="AR108" s="10">
        <v>132</v>
      </c>
      <c r="AS108" s="10">
        <v>224</v>
      </c>
      <c r="AT108" s="10">
        <v>170</v>
      </c>
      <c r="AU108" s="10">
        <v>-15</v>
      </c>
      <c r="AV108" s="10">
        <v>-25</v>
      </c>
      <c r="AW108" s="10">
        <v>-40</v>
      </c>
      <c r="AX108" s="10">
        <v>-2</v>
      </c>
      <c r="AY108" s="10">
        <f t="shared" ref="AY108:AY134" si="12">SUM(AS108:AX108)</f>
        <v>312</v>
      </c>
      <c r="AZ108" s="1">
        <v>2</v>
      </c>
      <c r="BA108" s="1" t="s">
        <v>405</v>
      </c>
      <c r="BB108" s="1" t="s">
        <v>405</v>
      </c>
      <c r="BC108" s="1" t="s">
        <v>405</v>
      </c>
      <c r="BD108" s="1" t="s">
        <v>405</v>
      </c>
    </row>
    <row r="109" spans="1:56" x14ac:dyDescent="0.25">
      <c r="A109" s="1">
        <v>11</v>
      </c>
      <c r="B109" s="1" t="s">
        <v>117</v>
      </c>
      <c r="C109" s="7" t="s">
        <v>639</v>
      </c>
      <c r="D109" s="1" t="s">
        <v>353</v>
      </c>
      <c r="E109" s="1" t="s">
        <v>635</v>
      </c>
      <c r="F109" s="7" t="s">
        <v>630</v>
      </c>
      <c r="G109" s="7" t="s">
        <v>643</v>
      </c>
      <c r="H109" s="10">
        <v>3731044</v>
      </c>
      <c r="I109" s="10">
        <v>141517</v>
      </c>
      <c r="J109" s="10">
        <v>2101330</v>
      </c>
      <c r="K109" s="10">
        <v>390202</v>
      </c>
      <c r="L109" s="10">
        <v>504744</v>
      </c>
      <c r="M109" s="10">
        <v>243870</v>
      </c>
      <c r="N109" s="10">
        <v>0</v>
      </c>
      <c r="O109" s="10">
        <v>3630836</v>
      </c>
      <c r="P109" s="23">
        <v>1.9E-2</v>
      </c>
      <c r="Q109" s="10">
        <v>0</v>
      </c>
      <c r="R109" s="27">
        <f>363058/3630580</f>
        <v>0.1</v>
      </c>
      <c r="S109" s="10">
        <v>363058</v>
      </c>
      <c r="T109" s="10">
        <v>0</v>
      </c>
      <c r="U109" s="10">
        <v>5982</v>
      </c>
      <c r="V109" s="10">
        <v>116247</v>
      </c>
      <c r="W109" s="10">
        <v>9324</v>
      </c>
      <c r="X109" s="10">
        <v>12380</v>
      </c>
      <c r="Y109" s="10">
        <f>14798+3283</f>
        <v>18081</v>
      </c>
      <c r="Z109" s="10">
        <v>952</v>
      </c>
      <c r="AA109" s="10">
        <v>17542</v>
      </c>
      <c r="AB109" s="10">
        <v>2093</v>
      </c>
      <c r="AC109" s="10">
        <f>1110+9239+4078</f>
        <v>14427</v>
      </c>
      <c r="AD109" s="10">
        <v>2178</v>
      </c>
      <c r="AE109" s="10">
        <v>3956</v>
      </c>
      <c r="AF109" s="10">
        <v>19462</v>
      </c>
      <c r="AG109" s="10">
        <v>16161</v>
      </c>
      <c r="AH109" s="10">
        <v>255021</v>
      </c>
      <c r="AI109" s="10">
        <v>275289</v>
      </c>
      <c r="AJ109" s="23">
        <f t="shared" si="11"/>
        <v>6.3371251779265239E-2</v>
      </c>
      <c r="AK109" s="10">
        <v>19495</v>
      </c>
      <c r="AL109" s="10">
        <v>0</v>
      </c>
      <c r="AM109" s="10">
        <v>126743</v>
      </c>
      <c r="AN109" s="10">
        <v>270</v>
      </c>
      <c r="AO109" s="10">
        <v>52059</v>
      </c>
      <c r="AP109" s="10">
        <v>0</v>
      </c>
      <c r="AQ109" s="10">
        <v>0</v>
      </c>
      <c r="AR109" s="10">
        <v>0</v>
      </c>
      <c r="AS109" s="10">
        <v>959</v>
      </c>
      <c r="AT109" s="10">
        <v>518</v>
      </c>
      <c r="AU109" s="10">
        <v>-102</v>
      </c>
      <c r="AV109" s="10">
        <v>-266</v>
      </c>
      <c r="AW109" s="10">
        <v>-175</v>
      </c>
      <c r="AX109" s="10">
        <v>0</v>
      </c>
      <c r="AY109" s="10">
        <f t="shared" si="12"/>
        <v>934</v>
      </c>
      <c r="AZ109" s="1">
        <v>0</v>
      </c>
      <c r="BA109" s="1" t="s">
        <v>406</v>
      </c>
      <c r="BB109" s="1" t="s">
        <v>406</v>
      </c>
      <c r="BC109" s="1" t="s">
        <v>406</v>
      </c>
      <c r="BD109" s="1" t="s">
        <v>406</v>
      </c>
    </row>
    <row r="110" spans="1:56" x14ac:dyDescent="0.25">
      <c r="A110" s="1">
        <v>11</v>
      </c>
      <c r="B110" s="1" t="s">
        <v>298</v>
      </c>
      <c r="C110" s="7" t="s">
        <v>342</v>
      </c>
      <c r="D110" s="1" t="s">
        <v>384</v>
      </c>
      <c r="E110" s="1" t="s">
        <v>635</v>
      </c>
      <c r="F110" s="7" t="s">
        <v>188</v>
      </c>
      <c r="G110" s="7" t="s">
        <v>643</v>
      </c>
      <c r="H110" s="10">
        <v>11737782</v>
      </c>
      <c r="I110" s="10">
        <v>143750</v>
      </c>
      <c r="J110" s="10">
        <v>5213435</v>
      </c>
      <c r="K110" s="10">
        <v>1712883</v>
      </c>
      <c r="L110" s="10">
        <v>3058454</v>
      </c>
      <c r="M110" s="10">
        <v>733170</v>
      </c>
      <c r="N110" s="10">
        <v>1250</v>
      </c>
      <c r="O110" s="10">
        <v>11297578</v>
      </c>
      <c r="P110" s="23">
        <v>5.4399999999999997E-2</v>
      </c>
      <c r="Q110" s="10">
        <v>0</v>
      </c>
      <c r="R110" s="27">
        <f>577496/11296328</f>
        <v>5.1122453243213191E-2</v>
      </c>
      <c r="S110" s="10">
        <v>577506</v>
      </c>
      <c r="T110" s="10">
        <v>0</v>
      </c>
      <c r="U110" s="10">
        <f>28916+708</f>
        <v>29624</v>
      </c>
      <c r="V110" s="10">
        <v>205673</v>
      </c>
      <c r="W110" s="10">
        <v>16619</v>
      </c>
      <c r="X110" s="10">
        <v>36470</v>
      </c>
      <c r="Y110" s="10">
        <f>29562+2704</f>
        <v>32266</v>
      </c>
      <c r="Z110" s="10">
        <v>0</v>
      </c>
      <c r="AA110" s="10">
        <v>20848</v>
      </c>
      <c r="AB110" s="10">
        <v>0</v>
      </c>
      <c r="AC110" s="10">
        <f>10995+32088+21720</f>
        <v>64803</v>
      </c>
      <c r="AD110" s="10">
        <v>5822</v>
      </c>
      <c r="AE110" s="10">
        <v>3603</v>
      </c>
      <c r="AF110" s="10">
        <v>18033</v>
      </c>
      <c r="AG110" s="10">
        <v>0</v>
      </c>
      <c r="AH110" s="10">
        <v>451168</v>
      </c>
      <c r="AI110" s="10">
        <v>459652</v>
      </c>
      <c r="AJ110" s="23">
        <f t="shared" si="11"/>
        <v>0</v>
      </c>
      <c r="AK110" s="10">
        <v>45418</v>
      </c>
      <c r="AL110" s="10">
        <v>1716</v>
      </c>
      <c r="AM110" s="10">
        <v>126473</v>
      </c>
      <c r="AN110" s="10">
        <v>0</v>
      </c>
      <c r="AO110" s="10">
        <v>74459</v>
      </c>
      <c r="AP110" s="10">
        <v>0</v>
      </c>
      <c r="AQ110" s="10">
        <v>0</v>
      </c>
      <c r="AR110" s="10">
        <v>0</v>
      </c>
      <c r="AS110" s="10">
        <v>2964</v>
      </c>
      <c r="AT110" s="10">
        <v>1409</v>
      </c>
      <c r="AU110" s="10">
        <v>-282</v>
      </c>
      <c r="AV110" s="10">
        <v>-555</v>
      </c>
      <c r="AW110" s="10">
        <v>-366</v>
      </c>
      <c r="AX110" s="10">
        <v>0</v>
      </c>
      <c r="AY110" s="10">
        <f t="shared" si="12"/>
        <v>3170</v>
      </c>
      <c r="AZ110" s="1">
        <v>33</v>
      </c>
      <c r="BA110" s="1">
        <v>1148</v>
      </c>
      <c r="BB110" s="1">
        <v>246</v>
      </c>
      <c r="BC110" s="1">
        <v>1752</v>
      </c>
      <c r="BD110" s="1">
        <v>24</v>
      </c>
    </row>
    <row r="111" spans="1:56" x14ac:dyDescent="0.25">
      <c r="A111" s="1">
        <v>11</v>
      </c>
      <c r="B111" s="1" t="s">
        <v>309</v>
      </c>
      <c r="C111" s="1" t="s">
        <v>588</v>
      </c>
      <c r="D111" s="1" t="s">
        <v>451</v>
      </c>
      <c r="E111" s="1" t="s">
        <v>635</v>
      </c>
      <c r="F111" s="7" t="s">
        <v>188</v>
      </c>
      <c r="G111" s="7" t="s">
        <v>643</v>
      </c>
      <c r="H111" s="10">
        <v>4079838</v>
      </c>
      <c r="I111" s="10">
        <v>155587</v>
      </c>
      <c r="J111" s="10">
        <v>2301691</v>
      </c>
      <c r="K111" s="10">
        <v>418398</v>
      </c>
      <c r="L111" s="10">
        <v>630701</v>
      </c>
      <c r="M111" s="10">
        <v>264936</v>
      </c>
      <c r="N111" s="10">
        <v>3264</v>
      </c>
      <c r="O111" s="10">
        <v>3905294</v>
      </c>
      <c r="P111" s="23">
        <v>5.3999999999999999E-2</v>
      </c>
      <c r="Q111" s="10">
        <v>0</v>
      </c>
      <c r="R111" s="27">
        <f>285752/3902030</f>
        <v>7.3231625589757127E-2</v>
      </c>
      <c r="S111" s="10">
        <v>285749</v>
      </c>
      <c r="T111" s="10">
        <v>0</v>
      </c>
      <c r="U111" s="10">
        <f>2408+201</f>
        <v>2609</v>
      </c>
      <c r="V111" s="10">
        <v>75770</v>
      </c>
      <c r="W111" s="10">
        <v>6085</v>
      </c>
      <c r="X111" s="10">
        <v>8617</v>
      </c>
      <c r="Y111" s="10">
        <v>5033</v>
      </c>
      <c r="Z111" s="10">
        <v>0</v>
      </c>
      <c r="AA111" s="10">
        <v>7735</v>
      </c>
      <c r="AB111" s="10">
        <v>0</v>
      </c>
      <c r="AC111" s="10">
        <f>3271+13482+7349</f>
        <v>24102</v>
      </c>
      <c r="AD111" s="10">
        <v>4446</v>
      </c>
      <c r="AE111" s="10">
        <v>600</v>
      </c>
      <c r="AF111" s="10">
        <v>16249</v>
      </c>
      <c r="AG111" s="10">
        <v>29063</v>
      </c>
      <c r="AH111" s="10">
        <v>174044</v>
      </c>
      <c r="AI111" s="10">
        <v>176946</v>
      </c>
      <c r="AJ111" s="23">
        <f t="shared" si="11"/>
        <v>0.16698650915860358</v>
      </c>
      <c r="AK111" s="10">
        <v>20855</v>
      </c>
      <c r="AL111" s="10">
        <v>1199</v>
      </c>
      <c r="AM111" s="10">
        <v>126473</v>
      </c>
      <c r="AN111" s="10">
        <v>0</v>
      </c>
      <c r="AO111" s="10">
        <v>26517</v>
      </c>
      <c r="AP111" s="10">
        <v>0</v>
      </c>
      <c r="AQ111" s="10">
        <v>0</v>
      </c>
      <c r="AR111" s="10">
        <v>0</v>
      </c>
      <c r="AS111" s="10">
        <v>856</v>
      </c>
      <c r="AT111" s="10">
        <v>587</v>
      </c>
      <c r="AU111" s="10">
        <v>-123</v>
      </c>
      <c r="AV111" s="10">
        <v>-213</v>
      </c>
      <c r="AW111" s="10">
        <v>-97</v>
      </c>
      <c r="AX111" s="10">
        <f>7-2</f>
        <v>5</v>
      </c>
      <c r="AY111" s="10">
        <f t="shared" si="12"/>
        <v>1015</v>
      </c>
      <c r="AZ111" s="1">
        <v>2</v>
      </c>
      <c r="BA111" s="1">
        <v>55</v>
      </c>
      <c r="BB111" s="1">
        <v>12</v>
      </c>
      <c r="BC111" s="1">
        <v>29</v>
      </c>
      <c r="BD111" s="1">
        <v>1</v>
      </c>
    </row>
    <row r="112" spans="1:56" x14ac:dyDescent="0.25">
      <c r="A112" s="1">
        <v>11</v>
      </c>
      <c r="B112" s="1" t="s">
        <v>365</v>
      </c>
      <c r="C112" s="7" t="s">
        <v>288</v>
      </c>
      <c r="D112" s="1" t="s">
        <v>119</v>
      </c>
      <c r="E112" s="1" t="s">
        <v>276</v>
      </c>
      <c r="F112" s="7" t="s">
        <v>429</v>
      </c>
      <c r="G112" s="7" t="s">
        <v>277</v>
      </c>
      <c r="H112" s="10">
        <v>37402344</v>
      </c>
      <c r="I112" s="10">
        <v>1608654</v>
      </c>
      <c r="J112" s="10">
        <v>21326454</v>
      </c>
      <c r="K112" s="10">
        <v>1470203</v>
      </c>
      <c r="L112" s="10">
        <v>7362204</v>
      </c>
      <c r="M112" s="10">
        <v>2976016</v>
      </c>
      <c r="N112" s="10">
        <v>0</v>
      </c>
      <c r="O112" s="10">
        <v>35243988</v>
      </c>
      <c r="P112" s="23">
        <v>0.09</v>
      </c>
      <c r="Q112" s="10">
        <v>0</v>
      </c>
      <c r="R112" s="27">
        <f>2119059/35317655</f>
        <v>5.9999991505664804E-2</v>
      </c>
      <c r="S112" s="10">
        <v>2109111</v>
      </c>
      <c r="T112" s="10">
        <v>0</v>
      </c>
      <c r="U112" s="10">
        <f>56488+3679</f>
        <v>60167</v>
      </c>
      <c r="V112" s="10">
        <v>985173</v>
      </c>
      <c r="W112" s="10">
        <v>73874</v>
      </c>
      <c r="X112" s="10">
        <v>121520</v>
      </c>
      <c r="Y112" s="10">
        <f>398627+17732</f>
        <v>416359</v>
      </c>
      <c r="Z112" s="10">
        <v>0</v>
      </c>
      <c r="AA112" s="10">
        <v>160806</v>
      </c>
      <c r="AB112" s="10">
        <v>1986</v>
      </c>
      <c r="AC112" s="10">
        <f>21850+54890+44633</f>
        <v>121373</v>
      </c>
      <c r="AD112" s="10">
        <v>18820</v>
      </c>
      <c r="AE112" s="10">
        <v>0</v>
      </c>
      <c r="AF112" s="10">
        <v>4961</v>
      </c>
      <c r="AG112" s="10">
        <v>154968</v>
      </c>
      <c r="AH112" s="10">
        <v>1971309</v>
      </c>
      <c r="AI112" s="10">
        <v>2044556</v>
      </c>
      <c r="AJ112" s="23">
        <f t="shared" si="11"/>
        <v>7.8611724493724722E-2</v>
      </c>
      <c r="AK112" s="10">
        <v>238031</v>
      </c>
      <c r="AL112" s="10">
        <v>0</v>
      </c>
      <c r="AM112" s="10">
        <v>126473</v>
      </c>
      <c r="AN112" s="10">
        <v>0</v>
      </c>
      <c r="AO112" s="10">
        <v>309527</v>
      </c>
      <c r="AP112" s="10">
        <v>0</v>
      </c>
      <c r="AQ112" s="10">
        <v>0</v>
      </c>
      <c r="AR112" s="10">
        <v>0</v>
      </c>
      <c r="AS112" s="10">
        <v>7092</v>
      </c>
      <c r="AT112" s="10">
        <v>5222</v>
      </c>
      <c r="AU112" s="10">
        <v>-498</v>
      </c>
      <c r="AV112" s="10">
        <v>-2418</v>
      </c>
      <c r="AW112" s="10">
        <v>-1178</v>
      </c>
      <c r="AX112" s="10"/>
      <c r="AY112" s="10">
        <f t="shared" si="12"/>
        <v>8220</v>
      </c>
      <c r="AZ112" s="1">
        <v>22</v>
      </c>
      <c r="BA112" s="1"/>
      <c r="BB112" s="1"/>
      <c r="BC112" s="1"/>
      <c r="BD112" s="1"/>
    </row>
    <row r="113" spans="1:56" x14ac:dyDescent="0.25">
      <c r="A113" s="1">
        <v>11</v>
      </c>
      <c r="B113" s="1" t="s">
        <v>375</v>
      </c>
      <c r="C113" s="7" t="s">
        <v>347</v>
      </c>
      <c r="D113" s="1" t="s">
        <v>345</v>
      </c>
      <c r="E113" s="1" t="s">
        <v>276</v>
      </c>
      <c r="F113" s="7" t="s">
        <v>429</v>
      </c>
      <c r="G113" s="7" t="s">
        <v>277</v>
      </c>
      <c r="H113" s="10">
        <v>6906322</v>
      </c>
      <c r="I113" s="10">
        <v>144861</v>
      </c>
      <c r="J113" s="10">
        <v>3562118</v>
      </c>
      <c r="K113" s="10">
        <v>490052</v>
      </c>
      <c r="L113" s="10">
        <v>1630907</v>
      </c>
      <c r="M113" s="10">
        <v>568234</v>
      </c>
      <c r="N113" s="10">
        <v>10191</v>
      </c>
      <c r="O113" s="10">
        <v>6724971</v>
      </c>
      <c r="P113" s="23">
        <v>0.05</v>
      </c>
      <c r="Q113" s="10">
        <v>0</v>
      </c>
      <c r="R113" s="27">
        <f>395578/6714780</f>
        <v>5.8911535448666973E-2</v>
      </c>
      <c r="S113" s="10">
        <v>386686</v>
      </c>
      <c r="T113" s="10">
        <v>0</v>
      </c>
      <c r="U113" s="10">
        <v>26525</v>
      </c>
      <c r="V113" s="10">
        <v>140106</v>
      </c>
      <c r="W113" s="10">
        <v>11356</v>
      </c>
      <c r="X113" s="10">
        <v>9312</v>
      </c>
      <c r="Y113" s="10">
        <f>15932+4126</f>
        <v>20058</v>
      </c>
      <c r="Z113" s="10">
        <v>6305</v>
      </c>
      <c r="AA113" s="10">
        <v>11006</v>
      </c>
      <c r="AB113" s="10">
        <v>1169</v>
      </c>
      <c r="AC113" s="10">
        <f>6909+30374+14082</f>
        <v>51365</v>
      </c>
      <c r="AD113" s="10">
        <v>3177</v>
      </c>
      <c r="AE113" s="10">
        <v>4428</v>
      </c>
      <c r="AF113" s="10">
        <v>10665</v>
      </c>
      <c r="AG113" s="10">
        <v>0</v>
      </c>
      <c r="AH113" s="10">
        <v>292321</v>
      </c>
      <c r="AI113" s="10">
        <v>291316</v>
      </c>
      <c r="AJ113" s="23">
        <f t="shared" si="11"/>
        <v>0</v>
      </c>
      <c r="AK113" s="10">
        <v>42995</v>
      </c>
      <c r="AL113" s="10">
        <v>0</v>
      </c>
      <c r="AM113" s="10">
        <v>126473</v>
      </c>
      <c r="AN113" s="10">
        <v>0</v>
      </c>
      <c r="AO113" s="10">
        <v>47603</v>
      </c>
      <c r="AP113" s="10">
        <v>0</v>
      </c>
      <c r="AQ113" s="10">
        <v>0</v>
      </c>
      <c r="AR113" s="10">
        <v>0</v>
      </c>
      <c r="AS113" s="10">
        <v>1799</v>
      </c>
      <c r="AT113" s="10">
        <v>961</v>
      </c>
      <c r="AU113" s="10">
        <v>-109</v>
      </c>
      <c r="AV113" s="10">
        <v>-303</v>
      </c>
      <c r="AW113" s="10">
        <v>-369</v>
      </c>
      <c r="AX113" s="10">
        <v>0</v>
      </c>
      <c r="AY113" s="10">
        <f t="shared" si="12"/>
        <v>1979</v>
      </c>
      <c r="AZ113" s="1">
        <v>22</v>
      </c>
      <c r="BA113" s="1">
        <v>97</v>
      </c>
      <c r="BB113" s="1">
        <v>39</v>
      </c>
      <c r="BC113" s="1">
        <v>166</v>
      </c>
      <c r="BD113" s="1">
        <v>1</v>
      </c>
    </row>
    <row r="114" spans="1:56" x14ac:dyDescent="0.25">
      <c r="A114" s="1">
        <v>11</v>
      </c>
      <c r="B114" s="1" t="s">
        <v>466</v>
      </c>
      <c r="C114" s="7" t="s">
        <v>145</v>
      </c>
      <c r="D114" s="1" t="s">
        <v>119</v>
      </c>
      <c r="E114" s="1" t="s">
        <v>276</v>
      </c>
      <c r="F114" s="7" t="s">
        <v>429</v>
      </c>
      <c r="G114" s="7" t="s">
        <v>277</v>
      </c>
      <c r="H114" s="10">
        <v>35595754</v>
      </c>
      <c r="I114" s="10">
        <v>1241557</v>
      </c>
      <c r="J114" s="10">
        <v>20946198</v>
      </c>
      <c r="K114" s="10">
        <v>1645145</v>
      </c>
      <c r="L114" s="10">
        <v>6749676</v>
      </c>
      <c r="M114" s="10">
        <v>2956877</v>
      </c>
      <c r="N114" s="10">
        <v>0</v>
      </c>
      <c r="O114" s="10">
        <v>34166681</v>
      </c>
      <c r="P114" s="23">
        <v>0.03</v>
      </c>
      <c r="Q114" s="10">
        <v>0</v>
      </c>
      <c r="R114" s="27">
        <f>1873690/34167130</f>
        <v>5.4838963647224688E-2</v>
      </c>
      <c r="S114" s="10">
        <v>1868788</v>
      </c>
      <c r="T114" s="10">
        <v>0</v>
      </c>
      <c r="U114" s="10">
        <v>74396</v>
      </c>
      <c r="V114" s="10">
        <v>1041100</v>
      </c>
      <c r="W114" s="10">
        <v>84563</v>
      </c>
      <c r="X114" s="10">
        <v>189571</v>
      </c>
      <c r="Y114" s="10">
        <f>187926+9864</f>
        <v>197790</v>
      </c>
      <c r="Z114" s="10">
        <v>7850</v>
      </c>
      <c r="AA114" s="10">
        <v>19530</v>
      </c>
      <c r="AB114" s="10">
        <v>289</v>
      </c>
      <c r="AC114" s="10">
        <f>17479+98606+46481</f>
        <v>162566</v>
      </c>
      <c r="AD114" s="10">
        <v>4947</v>
      </c>
      <c r="AE114" s="10">
        <v>2187</v>
      </c>
      <c r="AF114" s="10">
        <v>11315</v>
      </c>
      <c r="AG114" s="10">
        <v>78583</v>
      </c>
      <c r="AH114" s="10">
        <v>1802367</v>
      </c>
      <c r="AI114" s="10">
        <v>1845658</v>
      </c>
      <c r="AJ114" s="23">
        <f t="shared" si="11"/>
        <v>4.3599888369016966E-2</v>
      </c>
      <c r="AK114" s="10">
        <v>259801</v>
      </c>
      <c r="AL114" s="10">
        <v>0</v>
      </c>
      <c r="AM114" s="10">
        <v>126468</v>
      </c>
      <c r="AN114" s="10">
        <v>0</v>
      </c>
      <c r="AO114" s="10">
        <v>279816</v>
      </c>
      <c r="AP114" s="10">
        <v>0</v>
      </c>
      <c r="AQ114" s="10">
        <v>0</v>
      </c>
      <c r="AR114" s="10">
        <v>0</v>
      </c>
      <c r="AS114" s="10">
        <v>6617</v>
      </c>
      <c r="AT114" s="10">
        <v>4820</v>
      </c>
      <c r="AU114" s="10">
        <v>-441</v>
      </c>
      <c r="AV114" s="10">
        <v>-2125</v>
      </c>
      <c r="AW114" s="10">
        <v>-1183</v>
      </c>
      <c r="AX114" s="10">
        <f>61+44-22</f>
        <v>83</v>
      </c>
      <c r="AY114" s="10">
        <f t="shared" si="12"/>
        <v>7771</v>
      </c>
      <c r="AZ114" s="1">
        <v>60</v>
      </c>
      <c r="BA114" s="1"/>
      <c r="BB114" s="1"/>
      <c r="BC114" s="1"/>
      <c r="BD114" s="1"/>
    </row>
    <row r="115" spans="1:56" x14ac:dyDescent="0.25">
      <c r="A115" s="1">
        <v>12</v>
      </c>
      <c r="B115" s="1" t="s">
        <v>184</v>
      </c>
      <c r="C115" s="7" t="s">
        <v>625</v>
      </c>
      <c r="D115" s="1" t="s">
        <v>208</v>
      </c>
      <c r="E115" s="1" t="s">
        <v>411</v>
      </c>
      <c r="F115" s="7"/>
      <c r="G115" s="7" t="s">
        <v>427</v>
      </c>
      <c r="H115" s="10">
        <v>585769</v>
      </c>
      <c r="I115" s="10">
        <v>5770</v>
      </c>
      <c r="J115" s="10">
        <v>204458</v>
      </c>
      <c r="K115" s="10">
        <v>73628</v>
      </c>
      <c r="L115" s="10">
        <v>214549</v>
      </c>
      <c r="M115" s="10">
        <v>30788</v>
      </c>
      <c r="N115" s="10">
        <v>0</v>
      </c>
      <c r="O115" s="10">
        <v>574750</v>
      </c>
      <c r="P115" s="23">
        <v>1.7829999999999999E-2</v>
      </c>
      <c r="Q115" s="10">
        <v>0</v>
      </c>
      <c r="R115" s="27">
        <f>50195/523556</f>
        <v>9.5873220820695396E-2</v>
      </c>
      <c r="S115" s="10">
        <v>50090</v>
      </c>
      <c r="T115" s="10">
        <v>9897</v>
      </c>
      <c r="U115" s="10">
        <f>370.45+24.89+41.95</f>
        <v>437.28999999999996</v>
      </c>
      <c r="V115" s="10">
        <v>0</v>
      </c>
      <c r="W115" s="10">
        <v>0</v>
      </c>
      <c r="X115" s="10">
        <v>0</v>
      </c>
      <c r="Y115" s="10">
        <v>1008</v>
      </c>
      <c r="Z115" s="10">
        <v>0</v>
      </c>
      <c r="AA115" s="10">
        <v>0</v>
      </c>
      <c r="AB115" s="10">
        <v>9986</v>
      </c>
      <c r="AC115" s="10">
        <f>649+2973</f>
        <v>3622</v>
      </c>
      <c r="AD115" s="10">
        <v>0</v>
      </c>
      <c r="AE115" s="10">
        <v>600</v>
      </c>
      <c r="AF115" s="10">
        <v>0</v>
      </c>
      <c r="AG115" s="10">
        <v>12426</v>
      </c>
      <c r="AH115" s="10">
        <v>21113</v>
      </c>
      <c r="AI115" s="10">
        <v>20398</v>
      </c>
      <c r="AJ115" s="23">
        <f t="shared" si="11"/>
        <v>0.58854734050111301</v>
      </c>
      <c r="AK115" s="10">
        <v>734</v>
      </c>
      <c r="AL115" s="10">
        <v>0</v>
      </c>
      <c r="AM115" s="10">
        <v>29183</v>
      </c>
      <c r="AN115" s="10">
        <v>0</v>
      </c>
      <c r="AO115" s="10">
        <v>2214</v>
      </c>
      <c r="AP115" s="10">
        <v>0</v>
      </c>
      <c r="AQ115" s="10">
        <v>0</v>
      </c>
      <c r="AR115" s="10">
        <v>0</v>
      </c>
      <c r="AS115" s="10">
        <v>119</v>
      </c>
      <c r="AT115" s="10">
        <v>78</v>
      </c>
      <c r="AU115" s="10">
        <v>-12</v>
      </c>
      <c r="AV115" s="10">
        <v>-10</v>
      </c>
      <c r="AW115" s="10">
        <v>-27</v>
      </c>
      <c r="AX115" s="10">
        <v>8</v>
      </c>
      <c r="AY115" s="10">
        <f t="shared" si="12"/>
        <v>156</v>
      </c>
      <c r="AZ115" s="1">
        <v>0</v>
      </c>
      <c r="BA115" s="1" t="s">
        <v>406</v>
      </c>
      <c r="BB115" s="1" t="s">
        <v>406</v>
      </c>
      <c r="BC115" s="1" t="s">
        <v>406</v>
      </c>
      <c r="BD115" s="1" t="s">
        <v>406</v>
      </c>
    </row>
    <row r="116" spans="1:56" x14ac:dyDescent="0.25">
      <c r="A116" s="1">
        <v>12</v>
      </c>
      <c r="B116" s="1" t="s">
        <v>186</v>
      </c>
      <c r="C116" s="7" t="s">
        <v>106</v>
      </c>
      <c r="D116" s="1" t="s">
        <v>623</v>
      </c>
      <c r="E116" s="1" t="s">
        <v>273</v>
      </c>
      <c r="F116" s="7" t="s">
        <v>429</v>
      </c>
      <c r="G116" s="7" t="s">
        <v>283</v>
      </c>
      <c r="H116" s="10">
        <v>801574</v>
      </c>
      <c r="I116" s="10">
        <v>29701</v>
      </c>
      <c r="J116" s="10">
        <v>214721</v>
      </c>
      <c r="K116" s="10">
        <v>154509</v>
      </c>
      <c r="L116" s="10">
        <v>212605</v>
      </c>
      <c r="M116" s="10">
        <v>84092</v>
      </c>
      <c r="N116" s="10">
        <v>0</v>
      </c>
      <c r="O116" s="10">
        <v>734237</v>
      </c>
      <c r="P116" s="23">
        <v>0.1</v>
      </c>
      <c r="Q116" s="10">
        <v>0</v>
      </c>
      <c r="R116" s="27">
        <f>68989/734237</f>
        <v>9.3960124591923322E-2</v>
      </c>
      <c r="S116" s="10">
        <v>67678</v>
      </c>
      <c r="T116" s="10">
        <v>0</v>
      </c>
      <c r="U116" s="10">
        <f>874+180+7</f>
        <v>1061</v>
      </c>
      <c r="V116" s="10">
        <v>9626</v>
      </c>
      <c r="W116" s="10">
        <v>879</v>
      </c>
      <c r="X116" s="10">
        <v>243</v>
      </c>
      <c r="Y116" s="10">
        <v>4658</v>
      </c>
      <c r="Z116" s="10">
        <v>0</v>
      </c>
      <c r="AA116" s="10">
        <v>2987</v>
      </c>
      <c r="AB116" s="10">
        <v>0</v>
      </c>
      <c r="AC116" s="10">
        <f>1114+2761+2173</f>
        <v>6048</v>
      </c>
      <c r="AD116" s="10">
        <v>2552</v>
      </c>
      <c r="AE116" s="10">
        <v>0</v>
      </c>
      <c r="AF116" s="10">
        <v>0</v>
      </c>
      <c r="AG116" s="10">
        <v>20066</v>
      </c>
      <c r="AH116" s="10">
        <v>32699</v>
      </c>
      <c r="AI116" s="10">
        <v>40880</v>
      </c>
      <c r="AJ116" s="23">
        <f t="shared" si="11"/>
        <v>0.61365791002782955</v>
      </c>
      <c r="AK116" s="10">
        <v>0</v>
      </c>
      <c r="AL116" s="10">
        <v>0.8</v>
      </c>
      <c r="AM116" s="10">
        <v>35531</v>
      </c>
      <c r="AN116" s="10">
        <v>0</v>
      </c>
      <c r="AO116" s="10">
        <v>0</v>
      </c>
      <c r="AP116" s="10">
        <v>0</v>
      </c>
      <c r="AQ116" s="10">
        <v>0</v>
      </c>
      <c r="AR116" s="10">
        <v>0</v>
      </c>
      <c r="AS116" s="10">
        <v>238</v>
      </c>
      <c r="AT116" s="10">
        <v>155</v>
      </c>
      <c r="AU116" s="10">
        <v>-22</v>
      </c>
      <c r="AV116" s="10">
        <v>-28</v>
      </c>
      <c r="AW116" s="10">
        <v>-33</v>
      </c>
      <c r="AX116" s="10">
        <v>-1</v>
      </c>
      <c r="AY116" s="10">
        <f t="shared" si="12"/>
        <v>309</v>
      </c>
      <c r="AZ116" s="1">
        <v>11</v>
      </c>
      <c r="BA116" s="1">
        <v>5</v>
      </c>
      <c r="BB116" s="1">
        <v>0</v>
      </c>
      <c r="BC116" s="1">
        <v>24</v>
      </c>
      <c r="BD116" s="1">
        <v>4</v>
      </c>
    </row>
    <row r="117" spans="1:56" x14ac:dyDescent="0.25">
      <c r="A117" s="1">
        <v>12</v>
      </c>
      <c r="B117" s="1" t="s">
        <v>209</v>
      </c>
      <c r="C117" s="7" t="s">
        <v>378</v>
      </c>
      <c r="D117" s="1" t="s">
        <v>62</v>
      </c>
      <c r="E117" s="1" t="s">
        <v>391</v>
      </c>
      <c r="F117" s="7"/>
      <c r="G117" s="7" t="s">
        <v>386</v>
      </c>
      <c r="H117" s="10">
        <v>271474</v>
      </c>
      <c r="I117" s="10">
        <v>854</v>
      </c>
      <c r="J117" s="10">
        <v>95989</v>
      </c>
      <c r="K117" s="10">
        <v>44417</v>
      </c>
      <c r="L117" s="10">
        <v>82652</v>
      </c>
      <c r="M117" s="10">
        <v>27258</v>
      </c>
      <c r="N117" s="10">
        <v>0</v>
      </c>
      <c r="O117" s="10">
        <v>277298</v>
      </c>
      <c r="P117" s="23">
        <v>4.5363000000000001E-2</v>
      </c>
      <c r="Q117" s="10">
        <v>0</v>
      </c>
      <c r="R117" s="27">
        <f>26409/250329</f>
        <v>0.10549716572989945</v>
      </c>
      <c r="S117" s="10">
        <v>26421</v>
      </c>
      <c r="T117" s="10">
        <v>0</v>
      </c>
      <c r="U117" s="10">
        <f>392+21</f>
        <v>413</v>
      </c>
      <c r="V117" s="10">
        <v>4160</v>
      </c>
      <c r="W117" s="10">
        <v>0</v>
      </c>
      <c r="X117" s="10">
        <v>0</v>
      </c>
      <c r="Y117" s="10">
        <v>1560</v>
      </c>
      <c r="Z117" s="10">
        <v>0</v>
      </c>
      <c r="AA117" s="10">
        <v>1524</v>
      </c>
      <c r="AB117" s="10">
        <v>2638</v>
      </c>
      <c r="AC117" s="10">
        <f>1500+637+1275</f>
        <v>3412</v>
      </c>
      <c r="AD117" s="10">
        <v>0</v>
      </c>
      <c r="AE117" s="10">
        <v>1600</v>
      </c>
      <c r="AF117" s="10">
        <v>0</v>
      </c>
      <c r="AG117" s="10">
        <v>0</v>
      </c>
      <c r="AH117" s="10">
        <v>16690</v>
      </c>
      <c r="AI117" s="10">
        <v>19876</v>
      </c>
      <c r="AJ117" s="23">
        <f t="shared" si="11"/>
        <v>0</v>
      </c>
      <c r="AK117" s="10">
        <v>326</v>
      </c>
      <c r="AL117" s="10">
        <v>0</v>
      </c>
      <c r="AM117" s="10">
        <v>10539</v>
      </c>
      <c r="AN117" s="10">
        <v>0</v>
      </c>
      <c r="AO117" s="10">
        <v>464</v>
      </c>
      <c r="AP117" s="10">
        <v>0</v>
      </c>
      <c r="AQ117" s="10">
        <v>0</v>
      </c>
      <c r="AR117" s="10">
        <v>0</v>
      </c>
      <c r="AS117" s="10">
        <v>82</v>
      </c>
      <c r="AT117" s="10">
        <v>46</v>
      </c>
      <c r="AU117" s="10">
        <v>-8</v>
      </c>
      <c r="AV117" s="10">
        <v>-18</v>
      </c>
      <c r="AW117" s="10">
        <v>-13</v>
      </c>
      <c r="AX117" s="10">
        <v>0</v>
      </c>
      <c r="AY117" s="10">
        <f t="shared" si="12"/>
        <v>89</v>
      </c>
      <c r="AZ117" s="1">
        <v>0</v>
      </c>
      <c r="BA117" s="1" t="s">
        <v>406</v>
      </c>
      <c r="BB117" s="1" t="s">
        <v>406</v>
      </c>
      <c r="BC117" s="1" t="s">
        <v>406</v>
      </c>
      <c r="BD117" s="1" t="s">
        <v>406</v>
      </c>
    </row>
    <row r="118" spans="1:56" x14ac:dyDescent="0.25">
      <c r="A118" s="1">
        <v>12</v>
      </c>
      <c r="B118" s="1" t="s">
        <v>381</v>
      </c>
      <c r="C118" s="7" t="s">
        <v>287</v>
      </c>
      <c r="D118" s="1" t="s">
        <v>385</v>
      </c>
      <c r="E118" s="1" t="s">
        <v>391</v>
      </c>
      <c r="F118" s="7"/>
      <c r="G118" s="7" t="s">
        <v>386</v>
      </c>
      <c r="H118" s="10">
        <v>33996827</v>
      </c>
      <c r="I118" s="10">
        <v>343930</v>
      </c>
      <c r="J118" s="10">
        <v>13107602</v>
      </c>
      <c r="K118" s="10">
        <v>6351649</v>
      </c>
      <c r="L118" s="10">
        <v>9316440</v>
      </c>
      <c r="M118" s="10">
        <v>2852321</v>
      </c>
      <c r="N118" s="10">
        <v>400</v>
      </c>
      <c r="O118" s="10">
        <v>32780960</v>
      </c>
      <c r="P118" s="23">
        <v>0.1424</v>
      </c>
      <c r="Q118" s="10">
        <v>1152548</v>
      </c>
      <c r="R118" s="27">
        <f>(1153437)/(31628012)</f>
        <v>3.6468842872577636E-2</v>
      </c>
      <c r="S118" s="10">
        <v>1152548</v>
      </c>
      <c r="T118" s="10">
        <v>0</v>
      </c>
      <c r="U118" s="10">
        <f>132542+7392+5224</f>
        <v>145158</v>
      </c>
      <c r="V118" s="10">
        <v>612065</v>
      </c>
      <c r="W118" s="10">
        <v>49070</v>
      </c>
      <c r="X118" s="10">
        <v>178719</v>
      </c>
      <c r="Y118" s="10">
        <f>123908+0</f>
        <v>123908</v>
      </c>
      <c r="Z118" s="10">
        <v>12950</v>
      </c>
      <c r="AA118" s="10">
        <v>4899</v>
      </c>
      <c r="AB118" s="10">
        <v>0</v>
      </c>
      <c r="AC118" s="10">
        <f>23745+36000+32452</f>
        <v>92197</v>
      </c>
      <c r="AD118" s="10">
        <v>0</v>
      </c>
      <c r="AE118" s="10">
        <v>17937</v>
      </c>
      <c r="AF118" s="10">
        <v>28820</v>
      </c>
      <c r="AG118" s="10">
        <v>37158</v>
      </c>
      <c r="AH118" s="10">
        <v>1159313</v>
      </c>
      <c r="AI118" s="10">
        <v>1206340</v>
      </c>
      <c r="AJ118" s="23">
        <f t="shared" si="11"/>
        <v>3.2051740987981678E-2</v>
      </c>
      <c r="AK118" s="10">
        <v>148389</v>
      </c>
      <c r="AL118" s="10">
        <v>0</v>
      </c>
      <c r="AM118" s="10">
        <v>126613</v>
      </c>
      <c r="AN118" s="10">
        <v>140</v>
      </c>
      <c r="AO118" s="10">
        <v>162100</v>
      </c>
      <c r="AP118" s="10">
        <v>0</v>
      </c>
      <c r="AQ118" s="10">
        <v>0</v>
      </c>
      <c r="AR118" s="10">
        <v>0</v>
      </c>
      <c r="AS118" s="10">
        <v>9369</v>
      </c>
      <c r="AT118" s="10">
        <v>4701</v>
      </c>
      <c r="AU118" s="10">
        <v>-641</v>
      </c>
      <c r="AV118" s="10">
        <v>-2316</v>
      </c>
      <c r="AW118" s="10">
        <v>-1443</v>
      </c>
      <c r="AX118" s="10">
        <v>57</v>
      </c>
      <c r="AY118" s="10">
        <f t="shared" si="12"/>
        <v>9727</v>
      </c>
      <c r="AZ118" s="1">
        <v>27</v>
      </c>
      <c r="BA118" s="1" t="s">
        <v>406</v>
      </c>
      <c r="BB118" s="1" t="s">
        <v>406</v>
      </c>
      <c r="BC118" s="1" t="s">
        <v>406</v>
      </c>
      <c r="BD118" s="1" t="s">
        <v>406</v>
      </c>
    </row>
    <row r="119" spans="1:56" x14ac:dyDescent="0.25">
      <c r="A119" s="1">
        <v>12</v>
      </c>
      <c r="B119" s="1" t="s">
        <v>620</v>
      </c>
      <c r="C119" s="7" t="s">
        <v>29</v>
      </c>
      <c r="D119" s="1" t="s">
        <v>170</v>
      </c>
      <c r="E119" s="1" t="s">
        <v>273</v>
      </c>
      <c r="F119" s="7" t="s">
        <v>557</v>
      </c>
      <c r="G119" s="7" t="s">
        <v>283</v>
      </c>
      <c r="H119" s="10">
        <v>5444867</v>
      </c>
      <c r="I119" s="10">
        <v>89893</v>
      </c>
      <c r="J119" s="10">
        <v>2642518</v>
      </c>
      <c r="K119" s="10">
        <v>342257</v>
      </c>
      <c r="L119" s="10">
        <v>1452916</v>
      </c>
      <c r="M119" s="10">
        <v>408822</v>
      </c>
      <c r="N119" s="10">
        <v>0</v>
      </c>
      <c r="O119" s="10">
        <v>5349310</v>
      </c>
      <c r="P119" s="23">
        <v>8.6999999999999994E-2</v>
      </c>
      <c r="Q119" s="10">
        <v>203789</v>
      </c>
      <c r="R119" s="27">
        <f>435994/5079179</f>
        <v>8.583946342509291E-2</v>
      </c>
      <c r="S119" s="10">
        <v>435275</v>
      </c>
      <c r="T119" s="10">
        <v>0</v>
      </c>
      <c r="U119" s="10">
        <f>3789+244</f>
        <v>4033</v>
      </c>
      <c r="V119" s="10">
        <v>155444</v>
      </c>
      <c r="W119" s="10">
        <v>12631</v>
      </c>
      <c r="X119" s="10">
        <v>46314</v>
      </c>
      <c r="Y119" s="10">
        <f>25253+891</f>
        <v>26144</v>
      </c>
      <c r="Z119" s="10">
        <v>0</v>
      </c>
      <c r="AA119" s="10">
        <v>1220</v>
      </c>
      <c r="AB119" s="10">
        <v>0</v>
      </c>
      <c r="AC119" s="10">
        <f>4513+8615+6055</f>
        <v>19183</v>
      </c>
      <c r="AD119" s="10">
        <v>6238</v>
      </c>
      <c r="AE119" s="10">
        <v>3071</v>
      </c>
      <c r="AF119" s="10">
        <v>12496</v>
      </c>
      <c r="AG119" s="10">
        <v>0</v>
      </c>
      <c r="AH119" s="10">
        <v>303365</v>
      </c>
      <c r="AI119" s="10">
        <v>304178</v>
      </c>
      <c r="AJ119" s="23">
        <f t="shared" si="11"/>
        <v>0</v>
      </c>
      <c r="AK119" s="10">
        <v>40400</v>
      </c>
      <c r="AL119" s="10">
        <v>1036</v>
      </c>
      <c r="AM119" s="10">
        <v>126473</v>
      </c>
      <c r="AN119" s="10">
        <v>0</v>
      </c>
      <c r="AO119" s="10">
        <v>49870</v>
      </c>
      <c r="AP119" s="10">
        <v>0</v>
      </c>
      <c r="AQ119" s="10">
        <v>0</v>
      </c>
      <c r="AR119" s="10">
        <v>0</v>
      </c>
      <c r="AS119" s="10">
        <v>1227</v>
      </c>
      <c r="AT119" s="10">
        <v>557</v>
      </c>
      <c r="AU119" s="10">
        <v>-146.5</v>
      </c>
      <c r="AV119" s="10">
        <v>-152.5</v>
      </c>
      <c r="AW119" s="10">
        <v>-198</v>
      </c>
      <c r="AX119" s="10">
        <f>6+10</f>
        <v>16</v>
      </c>
      <c r="AY119" s="10">
        <f t="shared" si="12"/>
        <v>1303</v>
      </c>
      <c r="AZ119" s="1">
        <v>0</v>
      </c>
      <c r="BA119" s="1">
        <v>86</v>
      </c>
      <c r="BB119" s="1">
        <v>28</v>
      </c>
      <c r="BC119" s="1">
        <v>76</v>
      </c>
      <c r="BD119" s="1">
        <v>8</v>
      </c>
    </row>
    <row r="120" spans="1:56" x14ac:dyDescent="0.25">
      <c r="A120" s="1">
        <v>12</v>
      </c>
      <c r="B120" s="1" t="s">
        <v>650</v>
      </c>
      <c r="C120" s="1" t="s">
        <v>501</v>
      </c>
      <c r="D120" s="1" t="s">
        <v>550</v>
      </c>
      <c r="E120" s="1" t="s">
        <v>540</v>
      </c>
      <c r="F120" s="7"/>
      <c r="G120" s="7" t="s">
        <v>556</v>
      </c>
      <c r="H120" s="10">
        <v>1146134</v>
      </c>
      <c r="I120" s="10">
        <v>40594</v>
      </c>
      <c r="J120" s="10">
        <v>476992</v>
      </c>
      <c r="K120" s="10">
        <v>156803</v>
      </c>
      <c r="L120" s="10">
        <v>395811</v>
      </c>
      <c r="M120" s="10">
        <v>57208</v>
      </c>
      <c r="N120" s="10">
        <v>0</v>
      </c>
      <c r="O120" s="10">
        <v>1206950</v>
      </c>
      <c r="P120" s="23">
        <v>0.13</v>
      </c>
      <c r="Q120" s="10">
        <v>0</v>
      </c>
      <c r="R120" s="27">
        <f>115587/1202139</f>
        <v>9.6151110645274804E-2</v>
      </c>
      <c r="S120" s="10">
        <v>115134</v>
      </c>
      <c r="T120" s="10">
        <v>45824</v>
      </c>
      <c r="U120" s="10">
        <v>1115</v>
      </c>
      <c r="V120" s="10">
        <v>29796</v>
      </c>
      <c r="W120" s="10">
        <v>2279</v>
      </c>
      <c r="X120" s="10">
        <v>4708</v>
      </c>
      <c r="Y120" s="10">
        <v>8768</v>
      </c>
      <c r="Z120" s="10">
        <v>0</v>
      </c>
      <c r="AA120" s="10">
        <v>1649</v>
      </c>
      <c r="AB120" s="10">
        <v>0</v>
      </c>
      <c r="AC120" s="10">
        <f>2189+2953+2985</f>
        <v>8127</v>
      </c>
      <c r="AD120" s="10">
        <v>800</v>
      </c>
      <c r="AE120" s="10">
        <v>348</v>
      </c>
      <c r="AF120" s="10">
        <v>2091</v>
      </c>
      <c r="AG120" s="10">
        <v>65190</v>
      </c>
      <c r="AH120" s="10">
        <v>74068</v>
      </c>
      <c r="AI120" s="10">
        <v>69430</v>
      </c>
      <c r="AJ120" s="23">
        <f t="shared" si="11"/>
        <v>0.88013717124804236</v>
      </c>
      <c r="AK120" s="10">
        <v>0</v>
      </c>
      <c r="AL120" s="10">
        <v>0</v>
      </c>
      <c r="AM120" s="10">
        <v>46937</v>
      </c>
      <c r="AN120" s="10">
        <v>0</v>
      </c>
      <c r="AO120" s="10">
        <v>0</v>
      </c>
      <c r="AP120" s="10">
        <v>0</v>
      </c>
      <c r="AQ120" s="10">
        <v>0</v>
      </c>
      <c r="AR120" s="10">
        <v>0</v>
      </c>
      <c r="AS120" s="10">
        <v>281</v>
      </c>
      <c r="AT120" s="10">
        <v>97</v>
      </c>
      <c r="AU120" s="10">
        <v>-37</v>
      </c>
      <c r="AV120" s="10">
        <v>-36</v>
      </c>
      <c r="AW120" s="10">
        <v>-41</v>
      </c>
      <c r="AX120" s="10">
        <f>5-254</f>
        <v>-249</v>
      </c>
      <c r="AY120" s="10">
        <f t="shared" si="12"/>
        <v>15</v>
      </c>
      <c r="AZ120" s="1">
        <v>0</v>
      </c>
      <c r="BA120" s="1" t="s">
        <v>406</v>
      </c>
      <c r="BB120" s="1" t="s">
        <v>406</v>
      </c>
      <c r="BC120" s="1" t="s">
        <v>406</v>
      </c>
      <c r="BD120" s="1" t="s">
        <v>406</v>
      </c>
    </row>
    <row r="121" spans="1:56" x14ac:dyDescent="0.25">
      <c r="A121" s="1">
        <v>13</v>
      </c>
      <c r="B121" s="1" t="s">
        <v>142</v>
      </c>
      <c r="C121" s="7" t="s">
        <v>155</v>
      </c>
      <c r="D121" s="1" t="s">
        <v>428</v>
      </c>
      <c r="E121" s="1" t="s">
        <v>46</v>
      </c>
      <c r="F121" s="7" t="s">
        <v>189</v>
      </c>
      <c r="G121" s="7" t="s">
        <v>48</v>
      </c>
      <c r="H121" s="10">
        <v>54428213</v>
      </c>
      <c r="I121" s="10">
        <v>2725239</v>
      </c>
      <c r="J121" s="10">
        <v>35099708</v>
      </c>
      <c r="K121" s="10">
        <v>4604086</v>
      </c>
      <c r="L121" s="10">
        <v>4935085</v>
      </c>
      <c r="M121" s="10">
        <v>3924253</v>
      </c>
      <c r="N121" s="10">
        <v>0</v>
      </c>
      <c r="O121" s="10">
        <v>51157237</v>
      </c>
      <c r="P121" s="23">
        <v>0.05</v>
      </c>
      <c r="Q121" s="10">
        <v>0</v>
      </c>
      <c r="R121" s="27">
        <f>1698912/51102007</f>
        <v>3.3245504428035477E-2</v>
      </c>
      <c r="S121" s="10">
        <v>1699033</v>
      </c>
      <c r="T121" s="10">
        <v>0</v>
      </c>
      <c r="U121" s="10">
        <f>196745+3884</f>
        <v>200629</v>
      </c>
      <c r="V121" s="10">
        <v>1121014</v>
      </c>
      <c r="W121" s="10">
        <v>87654</v>
      </c>
      <c r="X121" s="10">
        <v>176942</v>
      </c>
      <c r="Y121" s="10">
        <v>112439</v>
      </c>
      <c r="Z121" s="10">
        <v>3006</v>
      </c>
      <c r="AA121" s="10">
        <v>17148</v>
      </c>
      <c r="AB121" s="10">
        <v>0</v>
      </c>
      <c r="AC121" s="10">
        <f>29441+135351+57940</f>
        <v>222732</v>
      </c>
      <c r="AD121" s="10">
        <v>13489</v>
      </c>
      <c r="AE121" s="10">
        <v>1055</v>
      </c>
      <c r="AF121" s="10">
        <v>109280</v>
      </c>
      <c r="AG121" s="10">
        <v>0</v>
      </c>
      <c r="AH121" s="10">
        <v>1960884</v>
      </c>
      <c r="AI121" s="10">
        <v>2004199</v>
      </c>
      <c r="AJ121" s="23">
        <f t="shared" si="11"/>
        <v>0</v>
      </c>
      <c r="AK121" s="10">
        <v>243104</v>
      </c>
      <c r="AL121" s="10">
        <v>0</v>
      </c>
      <c r="AM121" s="10">
        <v>126473</v>
      </c>
      <c r="AN121" s="10">
        <v>0</v>
      </c>
      <c r="AO121" s="10">
        <v>297688</v>
      </c>
      <c r="AP121" s="10">
        <v>0</v>
      </c>
      <c r="AQ121" s="10">
        <v>0</v>
      </c>
      <c r="AR121" s="10">
        <v>0</v>
      </c>
      <c r="AS121" s="10">
        <v>11535</v>
      </c>
      <c r="AT121" s="10">
        <v>6624</v>
      </c>
      <c r="AU121" s="10">
        <v>-535</v>
      </c>
      <c r="AV121" s="10">
        <v>-2280</v>
      </c>
      <c r="AW121" s="10">
        <v>-1531</v>
      </c>
      <c r="AX121" s="10">
        <f>79-1</f>
        <v>78</v>
      </c>
      <c r="AY121" s="10">
        <f t="shared" si="12"/>
        <v>13891</v>
      </c>
      <c r="AZ121" s="1">
        <v>108</v>
      </c>
      <c r="BA121" s="1">
        <v>367</v>
      </c>
      <c r="BB121" s="1">
        <v>194</v>
      </c>
      <c r="BC121" s="1">
        <v>732</v>
      </c>
      <c r="BD121" s="1">
        <v>198</v>
      </c>
    </row>
    <row r="122" spans="1:56" x14ac:dyDescent="0.25">
      <c r="A122" s="1">
        <v>13</v>
      </c>
      <c r="B122" s="1" t="s">
        <v>212</v>
      </c>
      <c r="C122" s="7" t="s">
        <v>501</v>
      </c>
      <c r="D122" s="1" t="s">
        <v>302</v>
      </c>
      <c r="E122" s="1" t="s">
        <v>392</v>
      </c>
      <c r="F122" s="7" t="s">
        <v>630</v>
      </c>
      <c r="G122" s="7" t="s">
        <v>390</v>
      </c>
      <c r="H122" s="10">
        <v>12264716</v>
      </c>
      <c r="I122" s="10">
        <v>551670</v>
      </c>
      <c r="J122" s="10">
        <v>7001276</v>
      </c>
      <c r="K122" s="10">
        <v>1266939</v>
      </c>
      <c r="L122" s="10">
        <v>2697481</v>
      </c>
      <c r="M122" s="10">
        <v>693329</v>
      </c>
      <c r="N122" s="10">
        <v>7064</v>
      </c>
      <c r="O122" s="10">
        <v>12437348</v>
      </c>
      <c r="P122" s="23">
        <v>0.06</v>
      </c>
      <c r="Q122" s="10">
        <f>1324296+13219</f>
        <v>1337515</v>
      </c>
      <c r="R122" s="27">
        <f>733158/11092639</f>
        <v>6.609410078160842E-2</v>
      </c>
      <c r="S122" s="10">
        <v>732467</v>
      </c>
      <c r="T122" s="10">
        <v>1571</v>
      </c>
      <c r="U122" s="10">
        <f>31273+2274</f>
        <v>33547</v>
      </c>
      <c r="V122" s="10">
        <v>357469</v>
      </c>
      <c r="W122" s="10">
        <v>28981</v>
      </c>
      <c r="X122" s="10">
        <v>52203</v>
      </c>
      <c r="Y122" s="10">
        <v>46397</v>
      </c>
      <c r="Z122" s="10">
        <v>8473</v>
      </c>
      <c r="AA122" s="10">
        <v>16191</v>
      </c>
      <c r="AB122" s="10">
        <v>0</v>
      </c>
      <c r="AC122" s="10">
        <f>7982+35296+17289</f>
        <v>60567</v>
      </c>
      <c r="AD122" s="10">
        <v>6769</v>
      </c>
      <c r="AE122" s="10">
        <v>-426</v>
      </c>
      <c r="AF122" s="10">
        <v>27085</v>
      </c>
      <c r="AG122" s="10">
        <v>88464</v>
      </c>
      <c r="AH122" s="10">
        <v>649299</v>
      </c>
      <c r="AI122" s="10">
        <v>673658</v>
      </c>
      <c r="AJ122" s="23">
        <f t="shared" si="11"/>
        <v>0.13624539695887411</v>
      </c>
      <c r="AK122" s="10">
        <v>79457</v>
      </c>
      <c r="AL122" s="10">
        <v>0</v>
      </c>
      <c r="AM122" s="10">
        <v>126473</v>
      </c>
      <c r="AN122" s="10">
        <v>0</v>
      </c>
      <c r="AO122" s="10">
        <v>76893</v>
      </c>
      <c r="AP122" s="10">
        <v>0</v>
      </c>
      <c r="AQ122" s="10">
        <v>0</v>
      </c>
      <c r="AR122" s="10">
        <v>0</v>
      </c>
      <c r="AS122" s="10">
        <v>2224</v>
      </c>
      <c r="AT122" s="10">
        <v>1555</v>
      </c>
      <c r="AU122" s="10">
        <v>-182</v>
      </c>
      <c r="AV122" s="10">
        <v>-658</v>
      </c>
      <c r="AW122" s="10">
        <v>-375</v>
      </c>
      <c r="AX122" s="10">
        <f>2-1</f>
        <v>1</v>
      </c>
      <c r="AY122" s="10">
        <f t="shared" si="12"/>
        <v>2565</v>
      </c>
      <c r="AZ122" s="1">
        <v>2</v>
      </c>
      <c r="BA122" s="1">
        <v>142</v>
      </c>
      <c r="BB122" s="1">
        <v>34</v>
      </c>
      <c r="BC122" s="1">
        <v>189</v>
      </c>
      <c r="BD122" s="1">
        <v>10</v>
      </c>
    </row>
    <row r="123" spans="1:56" x14ac:dyDescent="0.25">
      <c r="A123" s="1">
        <v>13</v>
      </c>
      <c r="B123" s="1" t="s">
        <v>319</v>
      </c>
      <c r="C123" s="7" t="s">
        <v>296</v>
      </c>
      <c r="D123" s="1" t="s">
        <v>310</v>
      </c>
      <c r="E123" s="1" t="s">
        <v>392</v>
      </c>
      <c r="F123" s="7" t="s">
        <v>188</v>
      </c>
      <c r="G123" s="7" t="s">
        <v>390</v>
      </c>
      <c r="H123" s="10">
        <v>38691827</v>
      </c>
      <c r="I123" s="10">
        <v>765851</v>
      </c>
      <c r="J123" s="10">
        <v>21457373</v>
      </c>
      <c r="K123" s="10">
        <v>2461272</v>
      </c>
      <c r="L123" s="10">
        <v>8513904</v>
      </c>
      <c r="M123" s="10">
        <v>3976670</v>
      </c>
      <c r="N123" s="10">
        <v>26867</v>
      </c>
      <c r="O123" s="10">
        <v>37619982</v>
      </c>
      <c r="P123" s="23">
        <v>0.06</v>
      </c>
      <c r="Q123" s="10">
        <v>1559696</v>
      </c>
      <c r="R123" s="27">
        <f>1173535/35743855</f>
        <v>3.2831797241791631E-2</v>
      </c>
      <c r="S123" s="10">
        <v>1173516</v>
      </c>
      <c r="T123" s="10">
        <v>0</v>
      </c>
      <c r="U123" s="10">
        <f>174360+82+1548</f>
        <v>175990</v>
      </c>
      <c r="V123" s="10">
        <v>636918</v>
      </c>
      <c r="W123" s="10">
        <v>55025</v>
      </c>
      <c r="X123" s="10">
        <v>135693</v>
      </c>
      <c r="Y123" s="10">
        <v>141950</v>
      </c>
      <c r="Z123" s="10">
        <v>10726</v>
      </c>
      <c r="AA123" s="10">
        <v>31916</v>
      </c>
      <c r="AB123" s="10">
        <v>2863</v>
      </c>
      <c r="AC123" s="10">
        <f>10777+54117+27070</f>
        <v>91964</v>
      </c>
      <c r="AD123" s="10">
        <v>9491</v>
      </c>
      <c r="AE123" s="10">
        <v>1290</v>
      </c>
      <c r="AF123" s="10">
        <v>60318</v>
      </c>
      <c r="AG123" s="10">
        <v>76766</v>
      </c>
      <c r="AH123" s="10">
        <v>1234122</v>
      </c>
      <c r="AI123" s="10">
        <v>1251524</v>
      </c>
      <c r="AJ123" s="23">
        <f t="shared" si="11"/>
        <v>6.2202926452976287E-2</v>
      </c>
      <c r="AK123" s="10">
        <v>111424</v>
      </c>
      <c r="AL123" s="10">
        <v>0</v>
      </c>
      <c r="AM123" s="10">
        <v>126473</v>
      </c>
      <c r="AN123" s="10">
        <v>0</v>
      </c>
      <c r="AO123" s="10">
        <v>131273</v>
      </c>
      <c r="AP123" s="10">
        <v>0</v>
      </c>
      <c r="AQ123" s="10">
        <v>0</v>
      </c>
      <c r="AR123" s="10">
        <v>0</v>
      </c>
      <c r="AS123" s="10">
        <v>8108</v>
      </c>
      <c r="AT123" s="10">
        <v>5626</v>
      </c>
      <c r="AU123" s="10">
        <v>-463</v>
      </c>
      <c r="AV123" s="10">
        <v>-3021</v>
      </c>
      <c r="AW123" s="10">
        <v>-1586</v>
      </c>
      <c r="AX123" s="10">
        <f>32-1</f>
        <v>31</v>
      </c>
      <c r="AY123" s="10">
        <f t="shared" si="12"/>
        <v>8695</v>
      </c>
      <c r="AZ123" s="1">
        <v>15</v>
      </c>
      <c r="BA123" s="1">
        <v>536</v>
      </c>
      <c r="BB123" s="1">
        <v>259</v>
      </c>
      <c r="BC123" s="1">
        <v>736</v>
      </c>
      <c r="BD123" s="1">
        <v>45</v>
      </c>
    </row>
    <row r="124" spans="1:56" x14ac:dyDescent="0.25">
      <c r="A124" s="1">
        <v>13</v>
      </c>
      <c r="B124" s="1" t="s">
        <v>327</v>
      </c>
      <c r="C124" s="7" t="s">
        <v>303</v>
      </c>
      <c r="D124" s="1" t="s">
        <v>447</v>
      </c>
      <c r="E124" s="1" t="s">
        <v>412</v>
      </c>
      <c r="F124" s="7"/>
      <c r="G124" s="7" t="s">
        <v>413</v>
      </c>
      <c r="H124" s="10">
        <v>7722515</v>
      </c>
      <c r="I124" s="10">
        <v>198669</v>
      </c>
      <c r="J124" s="10">
        <v>3645823</v>
      </c>
      <c r="K124" s="10">
        <v>460463</v>
      </c>
      <c r="L124" s="10">
        <v>1352264</v>
      </c>
      <c r="M124" s="10">
        <v>1052307</v>
      </c>
      <c r="N124" s="10">
        <v>5553</v>
      </c>
      <c r="O124" s="10">
        <v>7176477</v>
      </c>
      <c r="P124" s="23">
        <v>0.12</v>
      </c>
      <c r="Q124" s="10">
        <v>0</v>
      </c>
      <c r="R124" s="27">
        <f>(660603)/(7180471)</f>
        <v>9.1999953763478748E-2</v>
      </c>
      <c r="S124" s="10">
        <v>659457</v>
      </c>
      <c r="T124" s="10">
        <v>6016</v>
      </c>
      <c r="U124" s="10">
        <f>12443+1272</f>
        <v>13715</v>
      </c>
      <c r="V124" s="10">
        <v>258113</v>
      </c>
      <c r="W124" s="10">
        <v>20349</v>
      </c>
      <c r="X124" s="10">
        <v>28933</v>
      </c>
      <c r="Y124" s="10">
        <f>47991+2369</f>
        <v>50360</v>
      </c>
      <c r="Z124" s="10">
        <v>3233</v>
      </c>
      <c r="AA124" s="10">
        <v>0</v>
      </c>
      <c r="AB124" s="10">
        <v>18000</v>
      </c>
      <c r="AC124" s="10">
        <f>10049+24790+26571</f>
        <v>61410</v>
      </c>
      <c r="AD124" s="10">
        <v>5135</v>
      </c>
      <c r="AE124" s="10">
        <v>0</v>
      </c>
      <c r="AF124" s="10">
        <v>35866</v>
      </c>
      <c r="AG124" s="10">
        <v>4265</v>
      </c>
      <c r="AH124" s="10">
        <v>540174</v>
      </c>
      <c r="AI124" s="10">
        <v>560682</v>
      </c>
      <c r="AJ124" s="23">
        <f t="shared" si="11"/>
        <v>7.8956040090785561E-3</v>
      </c>
      <c r="AK124" s="10">
        <v>71222</v>
      </c>
      <c r="AL124" s="10">
        <v>0</v>
      </c>
      <c r="AM124" s="10">
        <v>126473</v>
      </c>
      <c r="AN124" s="10">
        <v>0</v>
      </c>
      <c r="AO124" s="10">
        <v>84461</v>
      </c>
      <c r="AP124" s="10">
        <v>0</v>
      </c>
      <c r="AQ124" s="10">
        <v>0</v>
      </c>
      <c r="AR124" s="10">
        <v>0</v>
      </c>
      <c r="AS124" s="10">
        <v>2013</v>
      </c>
      <c r="AT124" s="10">
        <v>923</v>
      </c>
      <c r="AU124" s="10">
        <v>-113</v>
      </c>
      <c r="AV124" s="10">
        <v>-250</v>
      </c>
      <c r="AW124" s="10">
        <v>-428</v>
      </c>
      <c r="AX124" s="10">
        <v>27</v>
      </c>
      <c r="AY124" s="10">
        <f t="shared" si="12"/>
        <v>2172</v>
      </c>
      <c r="AZ124" s="1">
        <v>3</v>
      </c>
      <c r="BA124" s="1" t="s">
        <v>406</v>
      </c>
      <c r="BB124" s="1" t="s">
        <v>406</v>
      </c>
      <c r="BC124" s="1" t="s">
        <v>406</v>
      </c>
      <c r="BD124" s="1" t="s">
        <v>406</v>
      </c>
    </row>
    <row r="125" spans="1:56" x14ac:dyDescent="0.25">
      <c r="A125" s="1">
        <v>14</v>
      </c>
      <c r="B125" s="1" t="s">
        <v>91</v>
      </c>
      <c r="C125" s="1" t="s">
        <v>519</v>
      </c>
      <c r="D125" s="1" t="s">
        <v>374</v>
      </c>
      <c r="E125" s="7" t="s">
        <v>55</v>
      </c>
      <c r="F125" s="7"/>
      <c r="G125" s="7" t="s">
        <v>47</v>
      </c>
      <c r="H125" s="10">
        <v>12384919</v>
      </c>
      <c r="I125" s="10">
        <v>765540</v>
      </c>
      <c r="J125" s="10">
        <v>5161093</v>
      </c>
      <c r="K125" s="10">
        <v>1480871</v>
      </c>
      <c r="L125" s="10">
        <v>1661085</v>
      </c>
      <c r="M125" s="10">
        <v>1409057</v>
      </c>
      <c r="N125" s="10">
        <v>77874</v>
      </c>
      <c r="O125" s="10">
        <v>10533996</v>
      </c>
      <c r="P125" s="23">
        <v>0.21</v>
      </c>
      <c r="Q125" s="10">
        <v>0</v>
      </c>
      <c r="R125" s="27">
        <f>746342/10321060</f>
        <v>7.2312533790133957E-2</v>
      </c>
      <c r="S125" s="10">
        <v>743628</v>
      </c>
      <c r="T125" s="10">
        <v>0</v>
      </c>
      <c r="U125" s="10">
        <f>73801+276</f>
        <v>74077</v>
      </c>
      <c r="V125" s="10">
        <v>362826</v>
      </c>
      <c r="W125" s="10">
        <v>28731</v>
      </c>
      <c r="X125" s="10">
        <v>46890</v>
      </c>
      <c r="Y125" s="10">
        <v>55355</v>
      </c>
      <c r="Z125" s="10">
        <v>9150</v>
      </c>
      <c r="AA125" s="10">
        <v>16305</v>
      </c>
      <c r="AB125" s="10">
        <v>21897</v>
      </c>
      <c r="AC125" s="10">
        <f>9470+21111</f>
        <v>30581</v>
      </c>
      <c r="AD125" s="10">
        <v>4399</v>
      </c>
      <c r="AE125" s="10">
        <v>2402</v>
      </c>
      <c r="AF125" s="10">
        <v>65952</v>
      </c>
      <c r="AG125" s="10">
        <v>0</v>
      </c>
      <c r="AH125" s="10">
        <v>746825</v>
      </c>
      <c r="AI125" s="10">
        <v>737846</v>
      </c>
      <c r="AJ125" s="23">
        <f t="shared" si="11"/>
        <v>0</v>
      </c>
      <c r="AK125" s="10">
        <v>85068</v>
      </c>
      <c r="AL125" s="10">
        <v>0</v>
      </c>
      <c r="AM125" s="10">
        <v>126473</v>
      </c>
      <c r="AN125" s="10">
        <v>0</v>
      </c>
      <c r="AO125" s="10">
        <v>111050</v>
      </c>
      <c r="AP125" s="10">
        <v>0</v>
      </c>
      <c r="AQ125" s="10">
        <v>0</v>
      </c>
      <c r="AR125" s="10">
        <v>0</v>
      </c>
      <c r="AS125" s="10">
        <v>2892</v>
      </c>
      <c r="AT125" s="10">
        <v>2230</v>
      </c>
      <c r="AU125" s="10">
        <v>-219</v>
      </c>
      <c r="AV125" s="10">
        <v>-1092</v>
      </c>
      <c r="AW125" s="10">
        <v>-483</v>
      </c>
      <c r="AX125" s="10">
        <f>263-6</f>
        <v>257</v>
      </c>
      <c r="AY125" s="10">
        <f t="shared" si="12"/>
        <v>3585</v>
      </c>
      <c r="AZ125" s="1">
        <v>4</v>
      </c>
      <c r="BA125" s="1">
        <v>57</v>
      </c>
      <c r="BB125" s="1">
        <v>40</v>
      </c>
      <c r="BC125" s="1">
        <v>334</v>
      </c>
      <c r="BD125" s="1">
        <v>29</v>
      </c>
    </row>
    <row r="126" spans="1:56" x14ac:dyDescent="0.25">
      <c r="A126" s="1">
        <v>14</v>
      </c>
      <c r="B126" s="1" t="s">
        <v>284</v>
      </c>
      <c r="C126" s="7" t="s">
        <v>358</v>
      </c>
      <c r="D126" s="1" t="s">
        <v>604</v>
      </c>
      <c r="E126" s="1" t="s">
        <v>55</v>
      </c>
      <c r="F126" s="1"/>
      <c r="G126" s="1" t="s">
        <v>47</v>
      </c>
      <c r="H126" s="10">
        <v>2728942</v>
      </c>
      <c r="I126" s="10">
        <v>118566</v>
      </c>
      <c r="J126" s="10">
        <v>1102587</v>
      </c>
      <c r="K126" s="10">
        <v>589063</v>
      </c>
      <c r="L126" s="10">
        <v>756263</v>
      </c>
      <c r="M126" s="10">
        <v>160829</v>
      </c>
      <c r="N126" s="10">
        <v>12733</v>
      </c>
      <c r="O126" s="10">
        <v>2934420</v>
      </c>
      <c r="P126" s="23">
        <v>0.08</v>
      </c>
      <c r="Q126" s="10">
        <v>0</v>
      </c>
      <c r="R126" s="27">
        <f>288592/2885916</f>
        <v>0.10000013860417281</v>
      </c>
      <c r="S126" s="10">
        <v>288432</v>
      </c>
      <c r="T126" s="10">
        <v>0</v>
      </c>
      <c r="U126" s="10">
        <f>3159+245+370</f>
        <v>3774</v>
      </c>
      <c r="V126" s="10">
        <v>106182</v>
      </c>
      <c r="W126" s="10">
        <v>9503</v>
      </c>
      <c r="X126" s="10">
        <v>13478</v>
      </c>
      <c r="Y126" s="10">
        <v>19463</v>
      </c>
      <c r="Z126" s="10">
        <v>8145</v>
      </c>
      <c r="AA126" s="10">
        <v>6518</v>
      </c>
      <c r="AB126" s="10">
        <v>8001</v>
      </c>
      <c r="AC126" s="10">
        <f>3207+5242+2432</f>
        <v>10881</v>
      </c>
      <c r="AD126" s="10">
        <v>0</v>
      </c>
      <c r="AE126" s="10">
        <v>4321</v>
      </c>
      <c r="AF126" s="10">
        <v>0</v>
      </c>
      <c r="AG126" s="10">
        <v>0</v>
      </c>
      <c r="AH126" s="10">
        <v>200084</v>
      </c>
      <c r="AI126" s="10">
        <v>292585</v>
      </c>
      <c r="AJ126" s="23">
        <f t="shared" si="11"/>
        <v>0</v>
      </c>
      <c r="AK126" s="10">
        <v>12842</v>
      </c>
      <c r="AL126" s="10">
        <v>0</v>
      </c>
      <c r="AM126" s="10">
        <v>95500</v>
      </c>
      <c r="AN126" s="10">
        <v>0</v>
      </c>
      <c r="AO126" s="10">
        <v>24582</v>
      </c>
      <c r="AP126" s="10">
        <v>0</v>
      </c>
      <c r="AQ126" s="10">
        <v>0</v>
      </c>
      <c r="AR126" s="10">
        <v>0</v>
      </c>
      <c r="AS126" s="10">
        <v>987</v>
      </c>
      <c r="AT126" s="10">
        <v>0</v>
      </c>
      <c r="AU126" s="10">
        <v>-34</v>
      </c>
      <c r="AV126" s="10">
        <v>-120</v>
      </c>
      <c r="AW126" s="10">
        <v>-312</v>
      </c>
      <c r="AX126" s="10">
        <v>0</v>
      </c>
      <c r="AY126" s="10">
        <f t="shared" si="12"/>
        <v>521</v>
      </c>
      <c r="AZ126" s="1">
        <v>0</v>
      </c>
      <c r="BA126" s="34" t="s">
        <v>406</v>
      </c>
      <c r="BB126" s="34" t="s">
        <v>406</v>
      </c>
      <c r="BC126" s="1" t="s">
        <v>406</v>
      </c>
      <c r="BD126" s="1" t="s">
        <v>406</v>
      </c>
    </row>
    <row r="127" spans="1:56" x14ac:dyDescent="0.25">
      <c r="A127" s="1">
        <v>14</v>
      </c>
      <c r="B127" s="1" t="s">
        <v>308</v>
      </c>
      <c r="C127" s="1" t="s">
        <v>172</v>
      </c>
      <c r="D127" s="1" t="s">
        <v>604</v>
      </c>
      <c r="E127" s="7" t="s">
        <v>55</v>
      </c>
      <c r="F127" s="7"/>
      <c r="G127" s="7" t="s">
        <v>47</v>
      </c>
      <c r="H127" s="10">
        <v>1853023</v>
      </c>
      <c r="I127" s="10">
        <v>38042</v>
      </c>
      <c r="J127" s="10">
        <v>355649</v>
      </c>
      <c r="K127" s="10">
        <v>70880</v>
      </c>
      <c r="L127" s="10">
        <v>141303</v>
      </c>
      <c r="M127" s="10">
        <v>509795</v>
      </c>
      <c r="N127" s="10">
        <v>3690</v>
      </c>
      <c r="O127" s="10">
        <v>1198656</v>
      </c>
      <c r="P127" s="23">
        <v>0.48</v>
      </c>
      <c r="Q127" s="10">
        <v>0</v>
      </c>
      <c r="R127" s="27">
        <f>114950/1149504</f>
        <v>9.9999652023829405E-2</v>
      </c>
      <c r="S127" s="10">
        <v>114956</v>
      </c>
      <c r="T127" s="10">
        <v>0</v>
      </c>
      <c r="U127" s="10">
        <f>17968+201</f>
        <v>18169</v>
      </c>
      <c r="V127" s="10">
        <v>33208</v>
      </c>
      <c r="W127" s="10">
        <v>3478</v>
      </c>
      <c r="X127" s="10">
        <v>50</v>
      </c>
      <c r="Y127" s="10">
        <v>2040</v>
      </c>
      <c r="Z127" s="10">
        <v>443</v>
      </c>
      <c r="AA127" s="10">
        <v>5021</v>
      </c>
      <c r="AB127" s="10">
        <v>1605</v>
      </c>
      <c r="AC127" s="10">
        <f>2828+1630+5018</f>
        <v>9476</v>
      </c>
      <c r="AD127" s="10">
        <v>1461</v>
      </c>
      <c r="AE127" s="10">
        <v>0</v>
      </c>
      <c r="AF127" s="10">
        <v>35608</v>
      </c>
      <c r="AG127" s="10">
        <v>2040</v>
      </c>
      <c r="AH127" s="10">
        <v>99275</v>
      </c>
      <c r="AI127" s="10">
        <v>109472</v>
      </c>
      <c r="AJ127" s="23">
        <f t="shared" si="11"/>
        <v>2.054898010576681E-2</v>
      </c>
      <c r="AK127" s="10">
        <v>0</v>
      </c>
      <c r="AL127" s="10">
        <v>0</v>
      </c>
      <c r="AM127" s="10">
        <v>29000</v>
      </c>
      <c r="AN127" s="10">
        <v>0</v>
      </c>
      <c r="AO127" s="10">
        <v>27215</v>
      </c>
      <c r="AP127" s="10">
        <v>0</v>
      </c>
      <c r="AQ127" s="10">
        <v>0</v>
      </c>
      <c r="AR127" s="10">
        <v>0</v>
      </c>
      <c r="AS127" s="10">
        <v>0</v>
      </c>
      <c r="AT127" s="10">
        <v>817</v>
      </c>
      <c r="AU127" s="10">
        <v>-35</v>
      </c>
      <c r="AV127" s="10">
        <v>-226</v>
      </c>
      <c r="AW127" s="10">
        <v>-1</v>
      </c>
      <c r="AX127" s="10">
        <f>380-1</f>
        <v>379</v>
      </c>
      <c r="AY127" s="10">
        <f t="shared" si="12"/>
        <v>934</v>
      </c>
      <c r="AZ127" s="1">
        <v>0</v>
      </c>
      <c r="BA127" s="34" t="s">
        <v>406</v>
      </c>
      <c r="BB127" s="34" t="s">
        <v>406</v>
      </c>
      <c r="BC127" s="34" t="s">
        <v>406</v>
      </c>
      <c r="BD127" s="34" t="s">
        <v>406</v>
      </c>
    </row>
    <row r="128" spans="1:56" x14ac:dyDescent="0.25">
      <c r="A128" s="1">
        <v>14</v>
      </c>
      <c r="B128" s="1" t="s">
        <v>367</v>
      </c>
      <c r="C128" s="7" t="s">
        <v>483</v>
      </c>
      <c r="D128" s="1" t="s">
        <v>468</v>
      </c>
      <c r="E128" s="1" t="s">
        <v>55</v>
      </c>
      <c r="F128" s="1"/>
      <c r="G128" s="1" t="s">
        <v>47</v>
      </c>
      <c r="H128" s="10">
        <v>13939685</v>
      </c>
      <c r="I128" s="10">
        <v>1096343</v>
      </c>
      <c r="J128" s="10">
        <v>5508923</v>
      </c>
      <c r="K128" s="10">
        <v>2493345</v>
      </c>
      <c r="L128" s="10">
        <v>2331435</v>
      </c>
      <c r="M128" s="10">
        <v>1514070</v>
      </c>
      <c r="N128" s="10">
        <v>246</v>
      </c>
      <c r="O128" s="10">
        <v>12546885</v>
      </c>
      <c r="P128" s="23">
        <v>0.25</v>
      </c>
      <c r="Q128" s="10">
        <v>0</v>
      </c>
      <c r="R128" s="27">
        <f>635568/12481581</f>
        <v>5.0920472334394173E-2</v>
      </c>
      <c r="S128" s="10">
        <v>632599</v>
      </c>
      <c r="T128" s="10">
        <v>0</v>
      </c>
      <c r="U128" s="10">
        <f>135533+13575+4774</f>
        <v>153882</v>
      </c>
      <c r="V128" s="10">
        <v>426570</v>
      </c>
      <c r="W128" s="10">
        <v>36277</v>
      </c>
      <c r="X128" s="10">
        <v>60679</v>
      </c>
      <c r="Y128" s="10">
        <v>54845</v>
      </c>
      <c r="Z128" s="10">
        <v>1367</v>
      </c>
      <c r="AA128" s="10">
        <v>15519</v>
      </c>
      <c r="AB128" s="10">
        <v>5926</v>
      </c>
      <c r="AC128" s="10">
        <f>10754+21992+27619</f>
        <v>60365</v>
      </c>
      <c r="AD128" s="10">
        <v>7322</v>
      </c>
      <c r="AE128" s="10">
        <v>5272</v>
      </c>
      <c r="AF128" s="10">
        <v>13666</v>
      </c>
      <c r="AG128" s="10">
        <v>63837</v>
      </c>
      <c r="AH128" s="10">
        <v>774348</v>
      </c>
      <c r="AI128" s="10">
        <v>773134</v>
      </c>
      <c r="AJ128" s="23">
        <f t="shared" si="11"/>
        <v>8.2439678284182305E-2</v>
      </c>
      <c r="AK128" s="10">
        <v>114627</v>
      </c>
      <c r="AL128" s="10">
        <v>902</v>
      </c>
      <c r="AM128" s="10">
        <v>126473</v>
      </c>
      <c r="AN128" s="10">
        <v>0</v>
      </c>
      <c r="AO128" s="10">
        <v>65592</v>
      </c>
      <c r="AP128" s="10">
        <v>0</v>
      </c>
      <c r="AQ128" s="10">
        <v>0</v>
      </c>
      <c r="AR128" s="10">
        <v>0</v>
      </c>
      <c r="AS128" s="10">
        <v>4408</v>
      </c>
      <c r="AT128" s="10">
        <v>2294</v>
      </c>
      <c r="AU128" s="10">
        <v>-240</v>
      </c>
      <c r="AV128" s="10">
        <v>-1307</v>
      </c>
      <c r="AW128" s="10">
        <v>-811</v>
      </c>
      <c r="AX128" s="10">
        <f>44-600</f>
        <v>-556</v>
      </c>
      <c r="AY128" s="10">
        <f t="shared" si="12"/>
        <v>3788</v>
      </c>
      <c r="AZ128" s="1">
        <v>13</v>
      </c>
      <c r="BA128" s="1">
        <v>108</v>
      </c>
      <c r="BB128" s="1">
        <v>76</v>
      </c>
      <c r="BC128" s="1">
        <v>602</v>
      </c>
      <c r="BD128" s="1">
        <v>13</v>
      </c>
    </row>
    <row r="129" spans="1:56" x14ac:dyDescent="0.25">
      <c r="A129" s="1">
        <v>14</v>
      </c>
      <c r="B129" s="1" t="s">
        <v>552</v>
      </c>
      <c r="C129" s="7" t="s">
        <v>291</v>
      </c>
      <c r="D129" s="1" t="s">
        <v>652</v>
      </c>
      <c r="E129" s="1" t="s">
        <v>55</v>
      </c>
      <c r="F129" s="1"/>
      <c r="G129" s="1" t="s">
        <v>47</v>
      </c>
      <c r="H129" s="10">
        <f>112911-61</f>
        <v>112850</v>
      </c>
      <c r="I129" s="10">
        <v>10349</v>
      </c>
      <c r="J129" s="10">
        <v>24828</v>
      </c>
      <c r="K129" s="10">
        <v>70165</v>
      </c>
      <c r="L129" s="10">
        <v>30490</v>
      </c>
      <c r="M129" s="10">
        <v>1500</v>
      </c>
      <c r="N129" s="10">
        <v>1540</v>
      </c>
      <c r="O129" s="10">
        <f>148292-1</f>
        <v>148291</v>
      </c>
      <c r="P129" s="23">
        <v>0.47</v>
      </c>
      <c r="Q129" s="10">
        <v>0</v>
      </c>
      <c r="R129" s="27">
        <f>14675/146749</f>
        <v>0.10000068143564862</v>
      </c>
      <c r="S129" s="10">
        <v>15362</v>
      </c>
      <c r="T129" s="10">
        <v>0</v>
      </c>
      <c r="U129" s="10">
        <f>821+104</f>
        <v>925</v>
      </c>
      <c r="V129" s="10">
        <v>7232</v>
      </c>
      <c r="W129" s="10">
        <v>0</v>
      </c>
      <c r="X129" s="10">
        <v>0</v>
      </c>
      <c r="Y129" s="10">
        <v>3000</v>
      </c>
      <c r="Z129" s="10">
        <v>0</v>
      </c>
      <c r="AA129" s="10">
        <v>3191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f>14023-3191</f>
        <v>10832</v>
      </c>
      <c r="AH129" s="10">
        <f>17187+2</f>
        <v>17189</v>
      </c>
      <c r="AI129" s="10">
        <v>15360</v>
      </c>
      <c r="AJ129" s="23">
        <f t="shared" si="11"/>
        <v>0.63017045785095116</v>
      </c>
      <c r="AK129" s="10">
        <v>1265</v>
      </c>
      <c r="AL129" s="10">
        <v>0</v>
      </c>
      <c r="AM129" s="10">
        <v>1850</v>
      </c>
      <c r="AN129" s="10">
        <v>0</v>
      </c>
      <c r="AO129" s="10">
        <v>55</v>
      </c>
      <c r="AP129" s="10">
        <v>0</v>
      </c>
      <c r="AQ129" s="10">
        <v>0</v>
      </c>
      <c r="AR129" s="10">
        <v>0</v>
      </c>
      <c r="AS129" s="10">
        <v>61</v>
      </c>
      <c r="AT129" s="10">
        <v>0</v>
      </c>
      <c r="AU129" s="10">
        <v>0</v>
      </c>
      <c r="AV129" s="10">
        <v>-6</v>
      </c>
      <c r="AW129" s="10">
        <v>-14</v>
      </c>
      <c r="AX129" s="10">
        <v>0</v>
      </c>
      <c r="AY129" s="10">
        <f t="shared" si="12"/>
        <v>41</v>
      </c>
      <c r="AZ129" s="1">
        <f>5+1</f>
        <v>6</v>
      </c>
      <c r="BA129" s="34" t="s">
        <v>406</v>
      </c>
      <c r="BB129" s="34" t="s">
        <v>406</v>
      </c>
      <c r="BC129" s="34" t="s">
        <v>406</v>
      </c>
      <c r="BD129" s="34" t="s">
        <v>406</v>
      </c>
    </row>
    <row r="130" spans="1:56" x14ac:dyDescent="0.25">
      <c r="A130" s="1">
        <v>15</v>
      </c>
      <c r="B130" s="1" t="s">
        <v>73</v>
      </c>
      <c r="C130" s="1" t="s">
        <v>588</v>
      </c>
      <c r="D130" s="1" t="s">
        <v>526</v>
      </c>
      <c r="E130" s="7" t="s">
        <v>101</v>
      </c>
      <c r="F130" s="7" t="s">
        <v>557</v>
      </c>
      <c r="G130" s="7" t="s">
        <v>102</v>
      </c>
      <c r="H130" s="10">
        <v>24243144</v>
      </c>
      <c r="I130" s="10">
        <v>823270</v>
      </c>
      <c r="J130" s="10">
        <v>9526773</v>
      </c>
      <c r="K130" s="10">
        <v>4119300</v>
      </c>
      <c r="L130" s="10">
        <v>5325166</v>
      </c>
      <c r="M130" s="10">
        <v>2320981</v>
      </c>
      <c r="N130" s="10">
        <v>67926</v>
      </c>
      <c r="O130" s="10">
        <v>22456293</v>
      </c>
      <c r="P130" s="23">
        <v>0.09</v>
      </c>
      <c r="Q130" s="10">
        <v>0</v>
      </c>
      <c r="R130" s="27">
        <f>1094195/22388367</f>
        <v>4.8873372497422435E-2</v>
      </c>
      <c r="S130" s="10">
        <v>1096147</v>
      </c>
      <c r="T130" s="10">
        <v>0</v>
      </c>
      <c r="U130" s="10">
        <f>68981+3865</f>
        <v>72846</v>
      </c>
      <c r="V130" s="10">
        <v>517397</v>
      </c>
      <c r="W130" s="10">
        <v>48731</v>
      </c>
      <c r="X130" s="10">
        <v>59579</v>
      </c>
      <c r="Y130" s="10">
        <v>92706</v>
      </c>
      <c r="Z130" s="10">
        <v>12509</v>
      </c>
      <c r="AA130" s="10">
        <v>79818</v>
      </c>
      <c r="AB130" s="10">
        <v>2713</v>
      </c>
      <c r="AC130" s="10">
        <f>8780+58595+76531</f>
        <v>143906</v>
      </c>
      <c r="AD130" s="10">
        <v>12124</v>
      </c>
      <c r="AE130" s="10">
        <v>627</v>
      </c>
      <c r="AF130" s="10">
        <v>58648</v>
      </c>
      <c r="AG130" s="10">
        <v>0</v>
      </c>
      <c r="AH130" s="10">
        <v>1135028</v>
      </c>
      <c r="AI130" s="10">
        <v>1147439</v>
      </c>
      <c r="AJ130" s="23">
        <f t="shared" si="11"/>
        <v>0</v>
      </c>
      <c r="AK130" s="10">
        <v>199657</v>
      </c>
      <c r="AL130" s="10">
        <v>0</v>
      </c>
      <c r="AM130" s="10">
        <v>157791</v>
      </c>
      <c r="AN130" s="10">
        <v>0</v>
      </c>
      <c r="AO130" s="10">
        <v>143799</v>
      </c>
      <c r="AP130" s="10">
        <v>0</v>
      </c>
      <c r="AQ130" s="10">
        <v>0</v>
      </c>
      <c r="AR130" s="10">
        <v>0</v>
      </c>
      <c r="AS130" s="10">
        <v>4128</v>
      </c>
      <c r="AT130" s="10">
        <v>3090</v>
      </c>
      <c r="AU130" s="10">
        <v>-423</v>
      </c>
      <c r="AV130" s="10">
        <v>-1541</v>
      </c>
      <c r="AW130" s="10">
        <v>-645</v>
      </c>
      <c r="AX130" s="10">
        <v>0</v>
      </c>
      <c r="AY130" s="10">
        <f t="shared" si="12"/>
        <v>4609</v>
      </c>
      <c r="AZ130" s="1">
        <v>77</v>
      </c>
      <c r="BA130" s="1">
        <v>313</v>
      </c>
      <c r="BB130" s="1">
        <v>23</v>
      </c>
      <c r="BC130" s="1">
        <v>82</v>
      </c>
      <c r="BD130" s="1">
        <v>206</v>
      </c>
    </row>
    <row r="131" spans="1:56" x14ac:dyDescent="0.25">
      <c r="A131" s="1">
        <v>15</v>
      </c>
      <c r="B131" s="1" t="s">
        <v>270</v>
      </c>
      <c r="C131" s="7" t="s">
        <v>268</v>
      </c>
      <c r="D131" s="1" t="s">
        <v>265</v>
      </c>
      <c r="E131" s="1" t="s">
        <v>261</v>
      </c>
      <c r="F131" s="7"/>
      <c r="G131" s="7" t="s">
        <v>254</v>
      </c>
      <c r="H131" s="10">
        <v>1587132</v>
      </c>
      <c r="I131" s="10">
        <v>43886</v>
      </c>
      <c r="J131" s="10">
        <v>653697</v>
      </c>
      <c r="K131" s="10">
        <v>96748</v>
      </c>
      <c r="L131" s="10">
        <v>375769</v>
      </c>
      <c r="M131" s="10">
        <v>18865</v>
      </c>
      <c r="N131" s="10">
        <v>795</v>
      </c>
      <c r="O131" s="10">
        <v>1268383</v>
      </c>
      <c r="P131" s="23">
        <v>0.36330000000000001</v>
      </c>
      <c r="Q131" s="10">
        <v>0</v>
      </c>
      <c r="R131" s="27">
        <f>126759/1267588</f>
        <v>0.10000015777997268</v>
      </c>
      <c r="S131" s="10">
        <v>122509</v>
      </c>
      <c r="T131" s="10">
        <v>0</v>
      </c>
      <c r="U131" s="10">
        <f>15402+661+140</f>
        <v>16203</v>
      </c>
      <c r="V131" s="10">
        <v>27688</v>
      </c>
      <c r="W131" s="10">
        <v>2186</v>
      </c>
      <c r="X131" s="10">
        <v>200</v>
      </c>
      <c r="Y131" s="10">
        <v>7238</v>
      </c>
      <c r="Z131" s="10">
        <v>1291</v>
      </c>
      <c r="AA131" s="10">
        <v>8317</v>
      </c>
      <c r="AB131" s="10">
        <v>28</v>
      </c>
      <c r="AC131" s="10">
        <f>1947+1087+1561</f>
        <v>4595</v>
      </c>
      <c r="AD131" s="10">
        <v>2066</v>
      </c>
      <c r="AE131" s="10">
        <v>650</v>
      </c>
      <c r="AF131" s="10">
        <v>3281</v>
      </c>
      <c r="AG131" s="10">
        <v>36999</v>
      </c>
      <c r="AH131" s="10">
        <v>72406</v>
      </c>
      <c r="AI131" s="10">
        <v>66345</v>
      </c>
      <c r="AJ131" s="23">
        <f t="shared" si="11"/>
        <v>0.51099356406927599</v>
      </c>
      <c r="AK131" s="10">
        <v>0</v>
      </c>
      <c r="AL131" s="10">
        <v>0</v>
      </c>
      <c r="AM131" s="10">
        <v>67101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308</v>
      </c>
      <c r="AT131" s="10">
        <v>408</v>
      </c>
      <c r="AU131" s="10">
        <v>0</v>
      </c>
      <c r="AV131" s="10">
        <v>0</v>
      </c>
      <c r="AW131" s="10">
        <v>0</v>
      </c>
      <c r="AX131" s="10">
        <v>-269</v>
      </c>
      <c r="AY131" s="10">
        <f t="shared" si="12"/>
        <v>447</v>
      </c>
      <c r="AZ131" s="1">
        <v>11</v>
      </c>
      <c r="BA131" s="1" t="s">
        <v>406</v>
      </c>
      <c r="BB131" s="1" t="s">
        <v>406</v>
      </c>
      <c r="BC131" s="1" t="s">
        <v>406</v>
      </c>
      <c r="BD131" s="1" t="s">
        <v>406</v>
      </c>
    </row>
    <row r="132" spans="1:56" x14ac:dyDescent="0.25">
      <c r="A132" s="1">
        <v>15</v>
      </c>
      <c r="B132" s="1" t="s">
        <v>551</v>
      </c>
      <c r="C132" s="7" t="s">
        <v>155</v>
      </c>
      <c r="D132" s="1" t="s">
        <v>526</v>
      </c>
      <c r="E132" s="1" t="s">
        <v>101</v>
      </c>
      <c r="F132" s="7" t="s">
        <v>557</v>
      </c>
      <c r="G132" s="7" t="s">
        <v>102</v>
      </c>
      <c r="H132" s="10">
        <v>19711422</v>
      </c>
      <c r="I132" s="10">
        <v>774512</v>
      </c>
      <c r="J132" s="10">
        <v>8079670</v>
      </c>
      <c r="K132" s="10">
        <v>2964250</v>
      </c>
      <c r="L132" s="10">
        <v>4524445</v>
      </c>
      <c r="M132" s="10">
        <v>1970484</v>
      </c>
      <c r="N132" s="10">
        <v>17900</v>
      </c>
      <c r="O132" s="10">
        <v>18471684</v>
      </c>
      <c r="P132" s="23">
        <v>0.09</v>
      </c>
      <c r="Q132" s="10">
        <v>0</v>
      </c>
      <c r="R132" s="27">
        <f>868893/18307494</f>
        <v>4.7461056111775868E-2</v>
      </c>
      <c r="S132" s="10">
        <v>866807</v>
      </c>
      <c r="T132" s="10">
        <v>0</v>
      </c>
      <c r="U132" s="10">
        <f>55570+1584</f>
        <v>57154</v>
      </c>
      <c r="V132" s="10">
        <v>480692</v>
      </c>
      <c r="W132" s="10">
        <v>41632</v>
      </c>
      <c r="X132" s="10">
        <v>79325</v>
      </c>
      <c r="Y132" s="10">
        <v>90373</v>
      </c>
      <c r="Z132" s="10">
        <v>3000</v>
      </c>
      <c r="AA132" s="10">
        <v>13180</v>
      </c>
      <c r="AB132" s="10">
        <v>0</v>
      </c>
      <c r="AC132" s="10">
        <f>6478+66694+25315</f>
        <v>98487</v>
      </c>
      <c r="AD132" s="10">
        <v>7155</v>
      </c>
      <c r="AE132" s="10">
        <v>1080</v>
      </c>
      <c r="AF132" s="10">
        <v>24473</v>
      </c>
      <c r="AG132" s="10">
        <v>0</v>
      </c>
      <c r="AH132" s="10">
        <v>879431</v>
      </c>
      <c r="AI132" s="10">
        <v>891973</v>
      </c>
      <c r="AJ132" s="23">
        <f t="shared" si="11"/>
        <v>0</v>
      </c>
      <c r="AK132" s="10">
        <v>119032</v>
      </c>
      <c r="AL132" s="10">
        <v>0</v>
      </c>
      <c r="AM132" s="10">
        <v>126473</v>
      </c>
      <c r="AN132" s="10">
        <v>0</v>
      </c>
      <c r="AO132" s="10">
        <v>103117</v>
      </c>
      <c r="AP132" s="10">
        <v>0</v>
      </c>
      <c r="AQ132" s="10">
        <v>0</v>
      </c>
      <c r="AR132" s="10">
        <v>0</v>
      </c>
      <c r="AS132" s="10">
        <v>4438</v>
      </c>
      <c r="AT132" s="10">
        <v>2390</v>
      </c>
      <c r="AU132" s="10">
        <v>-279</v>
      </c>
      <c r="AV132" s="10">
        <v>-1296</v>
      </c>
      <c r="AW132" s="10">
        <v>-728</v>
      </c>
      <c r="AX132" s="10">
        <v>11</v>
      </c>
      <c r="AY132" s="10">
        <f t="shared" si="12"/>
        <v>4536</v>
      </c>
      <c r="AZ132" s="1">
        <v>11</v>
      </c>
      <c r="BA132" s="1">
        <v>353</v>
      </c>
      <c r="BB132" s="1">
        <v>46</v>
      </c>
      <c r="BC132" s="1">
        <v>90</v>
      </c>
      <c r="BD132" s="1">
        <v>239</v>
      </c>
    </row>
    <row r="133" spans="1:56" x14ac:dyDescent="0.25">
      <c r="A133" s="1">
        <v>16</v>
      </c>
      <c r="B133" s="1" t="s">
        <v>130</v>
      </c>
      <c r="C133" s="7" t="s">
        <v>35</v>
      </c>
      <c r="D133" s="1" t="s">
        <v>531</v>
      </c>
      <c r="E133" s="1" t="s">
        <v>101</v>
      </c>
      <c r="F133" s="7" t="s">
        <v>111</v>
      </c>
      <c r="G133" s="7" t="s">
        <v>102</v>
      </c>
      <c r="H133" s="10">
        <v>34507818</v>
      </c>
      <c r="I133" s="10">
        <v>1319170</v>
      </c>
      <c r="J133" s="10">
        <v>16066430</v>
      </c>
      <c r="K133" s="10">
        <v>7879268</v>
      </c>
      <c r="L133" s="10">
        <v>6021943</v>
      </c>
      <c r="M133" s="10">
        <v>1996301</v>
      </c>
      <c r="N133" s="10">
        <v>54512</v>
      </c>
      <c r="O133" s="10">
        <v>33429572</v>
      </c>
      <c r="P133" s="23">
        <v>0.04</v>
      </c>
      <c r="Q133" s="10">
        <v>0</v>
      </c>
      <c r="R133" s="27">
        <f>1418378/33236114</f>
        <v>4.2675807406365257E-2</v>
      </c>
      <c r="S133" s="10">
        <v>1411088</v>
      </c>
      <c r="T133" s="10">
        <v>0</v>
      </c>
      <c r="U133" s="10">
        <f>107425+6812+3111</f>
        <v>117348</v>
      </c>
      <c r="V133" s="10">
        <v>726972</v>
      </c>
      <c r="W133" s="10">
        <v>65135</v>
      </c>
      <c r="X133" s="10">
        <v>71622</v>
      </c>
      <c r="Y133" s="10">
        <v>156435</v>
      </c>
      <c r="Z133" s="10">
        <v>9532</v>
      </c>
      <c r="AA133" s="10">
        <v>15816</v>
      </c>
      <c r="AB133" s="10">
        <v>803</v>
      </c>
      <c r="AC133" s="10">
        <f>20134+48644+54888</f>
        <v>123666</v>
      </c>
      <c r="AD133" s="10">
        <v>16805</v>
      </c>
      <c r="AE133" s="10">
        <v>69502</v>
      </c>
      <c r="AF133" s="10">
        <v>127669</v>
      </c>
      <c r="AG133" s="10">
        <v>50</v>
      </c>
      <c r="AH133" s="10">
        <v>1448079</v>
      </c>
      <c r="AI133" s="10">
        <v>1442047</v>
      </c>
      <c r="AJ133" s="23">
        <f t="shared" si="11"/>
        <v>3.4528502933886891E-5</v>
      </c>
      <c r="AK133" s="10">
        <v>168500</v>
      </c>
      <c r="AL133" s="10">
        <v>0</v>
      </c>
      <c r="AM133" s="10">
        <v>126473</v>
      </c>
      <c r="AN133" s="10">
        <v>0</v>
      </c>
      <c r="AO133" s="10">
        <v>206081</v>
      </c>
      <c r="AP133" s="10">
        <v>0</v>
      </c>
      <c r="AQ133" s="10">
        <v>0</v>
      </c>
      <c r="AR133" s="10">
        <v>0</v>
      </c>
      <c r="AS133" s="10">
        <v>5257</v>
      </c>
      <c r="AT133" s="10">
        <v>7674</v>
      </c>
      <c r="AU133" s="10">
        <v>-763</v>
      </c>
      <c r="AV133" s="10">
        <v>-4703</v>
      </c>
      <c r="AW133" s="10">
        <v>-670</v>
      </c>
      <c r="AX133" s="10">
        <v>0</v>
      </c>
      <c r="AY133" s="10">
        <f t="shared" si="12"/>
        <v>6795</v>
      </c>
      <c r="AZ133" s="1">
        <v>0</v>
      </c>
      <c r="BA133" s="1" t="s">
        <v>406</v>
      </c>
      <c r="BB133" s="1" t="s">
        <v>406</v>
      </c>
      <c r="BC133" s="1" t="s">
        <v>406</v>
      </c>
      <c r="BD133" s="1" t="s">
        <v>406</v>
      </c>
    </row>
    <row r="134" spans="1:56" x14ac:dyDescent="0.25">
      <c r="A134" s="1">
        <v>16</v>
      </c>
      <c r="B134" s="1" t="s">
        <v>150</v>
      </c>
      <c r="C134" s="7" t="s">
        <v>407</v>
      </c>
      <c r="D134" s="1" t="s">
        <v>341</v>
      </c>
      <c r="E134" s="1" t="s">
        <v>101</v>
      </c>
      <c r="F134" s="7" t="s">
        <v>111</v>
      </c>
      <c r="G134" s="7" t="s">
        <v>102</v>
      </c>
      <c r="H134" s="10">
        <v>25083537</v>
      </c>
      <c r="I134" s="10">
        <v>1804339</v>
      </c>
      <c r="J134" s="10">
        <v>12293566</v>
      </c>
      <c r="K134" s="10">
        <v>4790301</v>
      </c>
      <c r="L134" s="10">
        <v>2973025</v>
      </c>
      <c r="M134" s="10">
        <v>2114434</v>
      </c>
      <c r="N134" s="10">
        <v>46901</v>
      </c>
      <c r="O134" s="10">
        <v>23360604</v>
      </c>
      <c r="P134" s="23">
        <v>4.8000000000000001E-2</v>
      </c>
      <c r="Q134" s="10">
        <v>0</v>
      </c>
      <c r="R134" s="27">
        <f>1142371/23313703</f>
        <v>4.8999980826726665E-2</v>
      </c>
      <c r="S134" s="10">
        <v>1142377</v>
      </c>
      <c r="T134" s="10">
        <v>0</v>
      </c>
      <c r="U134" s="10">
        <f>34355+1229</f>
        <v>35584</v>
      </c>
      <c r="V134" s="10">
        <v>597739</v>
      </c>
      <c r="W134" s="10">
        <v>51474</v>
      </c>
      <c r="X134" s="10">
        <v>66814</v>
      </c>
      <c r="Y134" s="10">
        <v>112449</v>
      </c>
      <c r="Z134" s="10">
        <v>36000</v>
      </c>
      <c r="AA134" s="10">
        <v>28000</v>
      </c>
      <c r="AB134" s="10">
        <v>21000</v>
      </c>
      <c r="AC134" s="10">
        <f>12078+34888+57193</f>
        <v>104159</v>
      </c>
      <c r="AD134" s="10">
        <v>6770</v>
      </c>
      <c r="AE134" s="10">
        <v>15004</v>
      </c>
      <c r="AF134" s="10">
        <v>1919</v>
      </c>
      <c r="AG134" s="10">
        <v>51000</v>
      </c>
      <c r="AH134" s="10">
        <v>1111662</v>
      </c>
      <c r="AI134" s="10">
        <v>1125488</v>
      </c>
      <c r="AJ134" s="23">
        <f t="shared" si="11"/>
        <v>4.5877254057438324E-2</v>
      </c>
      <c r="AK134" s="10">
        <v>151238</v>
      </c>
      <c r="AL134" s="10">
        <v>0</v>
      </c>
      <c r="AM134" s="10">
        <v>126473</v>
      </c>
      <c r="AN134" s="10">
        <v>0</v>
      </c>
      <c r="AO134" s="10">
        <v>137965</v>
      </c>
      <c r="AP134" s="10">
        <v>0</v>
      </c>
      <c r="AQ134" s="10">
        <v>0</v>
      </c>
      <c r="AR134" s="10">
        <v>0</v>
      </c>
      <c r="AS134" s="10">
        <v>4193</v>
      </c>
      <c r="AT134" s="10">
        <v>6901</v>
      </c>
      <c r="AU134" s="10">
        <v>-620</v>
      </c>
      <c r="AV134" s="10">
        <v>-4756</v>
      </c>
      <c r="AW134" s="10">
        <v>-772</v>
      </c>
      <c r="AX134" s="10">
        <v>123</v>
      </c>
      <c r="AY134" s="10">
        <f t="shared" si="12"/>
        <v>5069</v>
      </c>
      <c r="AZ134" s="1">
        <v>0</v>
      </c>
      <c r="BA134" s="1" t="s">
        <v>406</v>
      </c>
      <c r="BB134" s="1" t="s">
        <v>406</v>
      </c>
      <c r="BC134" s="1" t="s">
        <v>406</v>
      </c>
      <c r="BD134" s="1" t="s">
        <v>406</v>
      </c>
    </row>
    <row r="135" spans="1:56" x14ac:dyDescent="0.25">
      <c r="A135" s="1">
        <v>16</v>
      </c>
      <c r="B135" s="1" t="s">
        <v>183</v>
      </c>
      <c r="C135" s="7" t="s">
        <v>192</v>
      </c>
      <c r="D135" s="1" t="s">
        <v>341</v>
      </c>
      <c r="E135" s="1" t="s">
        <v>101</v>
      </c>
      <c r="F135" s="7" t="s">
        <v>111</v>
      </c>
      <c r="G135" s="7" t="s">
        <v>102</v>
      </c>
      <c r="H135" s="10">
        <v>22549038</v>
      </c>
      <c r="I135" s="10">
        <v>1806019</v>
      </c>
      <c r="J135" s="10">
        <v>10313256</v>
      </c>
      <c r="K135" s="10">
        <v>3355176</v>
      </c>
      <c r="L135" s="10">
        <v>3040350</v>
      </c>
      <c r="M135" s="10">
        <v>2095517</v>
      </c>
      <c r="N135" s="10">
        <v>78502</v>
      </c>
      <c r="O135" s="10">
        <v>20178966</v>
      </c>
      <c r="P135" s="23">
        <v>0.13</v>
      </c>
      <c r="Q135" s="10">
        <v>0</v>
      </c>
      <c r="R135" s="27">
        <f>1295330/19617940</f>
        <v>6.6027829629410631E-2</v>
      </c>
      <c r="S135" s="10">
        <v>1296165</v>
      </c>
      <c r="T135" s="10">
        <v>0</v>
      </c>
      <c r="U135" s="10">
        <f>70953+5846</f>
        <v>76799</v>
      </c>
      <c r="V135" s="10">
        <v>624556</v>
      </c>
      <c r="W135" s="10">
        <v>54810</v>
      </c>
      <c r="X135" s="10">
        <v>93197</v>
      </c>
      <c r="Y135" s="10">
        <v>107701</v>
      </c>
      <c r="Z135" s="10">
        <v>8585</v>
      </c>
      <c r="AA135" s="10">
        <v>21670</v>
      </c>
      <c r="AB135" s="10">
        <v>3488</v>
      </c>
      <c r="AC135" s="10">
        <f>17196+43992+53457</f>
        <v>114645</v>
      </c>
      <c r="AD135" s="10">
        <v>12727</v>
      </c>
      <c r="AE135" s="10">
        <v>20276</v>
      </c>
      <c r="AF135" s="10">
        <v>30425</v>
      </c>
      <c r="AG135" s="10">
        <v>0</v>
      </c>
      <c r="AH135" s="10">
        <v>1165205</v>
      </c>
      <c r="AI135" s="10">
        <v>1310191</v>
      </c>
      <c r="AJ135" s="23">
        <f t="shared" si="11"/>
        <v>0</v>
      </c>
      <c r="AK135" s="10">
        <v>150690</v>
      </c>
      <c r="AL135" s="10">
        <v>428</v>
      </c>
      <c r="AM135" s="10">
        <v>126473</v>
      </c>
      <c r="AN135" s="10">
        <v>0</v>
      </c>
      <c r="AO135" s="10">
        <v>310538</v>
      </c>
      <c r="AP135" s="10">
        <v>130250</v>
      </c>
      <c r="AQ135" s="10">
        <v>0</v>
      </c>
      <c r="AR135" s="10">
        <v>0</v>
      </c>
      <c r="AS135" s="10">
        <v>3804</v>
      </c>
      <c r="AT135" s="10">
        <v>6971</v>
      </c>
      <c r="AU135" s="10">
        <v>-754</v>
      </c>
      <c r="AV135" s="10">
        <v>-5406</v>
      </c>
      <c r="AW135" s="10">
        <v>-376</v>
      </c>
      <c r="AX135" s="10">
        <f>3+86-4</f>
        <v>85</v>
      </c>
      <c r="AY135" s="10">
        <v>4321</v>
      </c>
      <c r="AZ135" s="1">
        <v>1</v>
      </c>
      <c r="BA135" s="1">
        <v>211</v>
      </c>
      <c r="BB135" s="1">
        <v>18</v>
      </c>
      <c r="BC135" s="1">
        <v>61</v>
      </c>
      <c r="BD135" s="1">
        <v>84</v>
      </c>
    </row>
    <row r="136" spans="1:56" x14ac:dyDescent="0.25">
      <c r="A136" s="1">
        <v>17</v>
      </c>
      <c r="B136" s="1" t="s">
        <v>89</v>
      </c>
      <c r="C136" s="7" t="s">
        <v>361</v>
      </c>
      <c r="D136" s="1" t="s">
        <v>435</v>
      </c>
      <c r="E136" s="1" t="s">
        <v>101</v>
      </c>
      <c r="F136" s="7" t="s">
        <v>429</v>
      </c>
      <c r="G136" s="7" t="s">
        <v>102</v>
      </c>
      <c r="H136" s="10">
        <v>25711922</v>
      </c>
      <c r="I136" s="10">
        <v>1018071</v>
      </c>
      <c r="J136" s="10">
        <v>12814633</v>
      </c>
      <c r="K136" s="10">
        <v>4138545</v>
      </c>
      <c r="L136" s="10">
        <v>3913579</v>
      </c>
      <c r="M136" s="10">
        <v>1967850</v>
      </c>
      <c r="N136" s="10">
        <v>0</v>
      </c>
      <c r="O136" s="10">
        <v>24172049</v>
      </c>
      <c r="P136" s="23">
        <v>0.11</v>
      </c>
      <c r="Q136" s="10">
        <v>0</v>
      </c>
      <c r="R136" s="27">
        <f>1305404/24172049</f>
        <v>5.4004689465919915E-2</v>
      </c>
      <c r="S136" s="10">
        <v>1307147</v>
      </c>
      <c r="T136" s="10">
        <v>0</v>
      </c>
      <c r="U136" s="10">
        <f>91508+3489</f>
        <v>94997</v>
      </c>
      <c r="V136" s="10">
        <v>787672</v>
      </c>
      <c r="W136" s="10">
        <v>65213</v>
      </c>
      <c r="X136" s="10">
        <v>100904</v>
      </c>
      <c r="Y136" s="10">
        <v>86627</v>
      </c>
      <c r="Z136" s="10">
        <v>2980</v>
      </c>
      <c r="AA136" s="10">
        <v>17148</v>
      </c>
      <c r="AB136" s="10">
        <v>6292</v>
      </c>
      <c r="AC136" s="10">
        <f>17355+69707+57277</f>
        <v>144339</v>
      </c>
      <c r="AD136" s="10">
        <v>13159</v>
      </c>
      <c r="AE136" s="10">
        <v>12218</v>
      </c>
      <c r="AF136" s="10">
        <v>20034</v>
      </c>
      <c r="AG136" s="10">
        <v>0</v>
      </c>
      <c r="AH136" s="10">
        <v>1385464</v>
      </c>
      <c r="AI136" s="10">
        <v>1371923</v>
      </c>
      <c r="AJ136" s="23">
        <f t="shared" si="11"/>
        <v>0</v>
      </c>
      <c r="AK136" s="10">
        <v>187972</v>
      </c>
      <c r="AL136" s="10">
        <v>0</v>
      </c>
      <c r="AM136" s="10">
        <v>126473</v>
      </c>
      <c r="AN136" s="10">
        <v>0</v>
      </c>
      <c r="AO136" s="10">
        <v>108664</v>
      </c>
      <c r="AP136" s="10">
        <v>0</v>
      </c>
      <c r="AQ136" s="10">
        <v>0</v>
      </c>
      <c r="AR136" s="10">
        <v>0</v>
      </c>
      <c r="AS136" s="10">
        <v>6289</v>
      </c>
      <c r="AT136" s="10">
        <v>3170</v>
      </c>
      <c r="AU136" s="10">
        <v>-231</v>
      </c>
      <c r="AV136" s="10">
        <v>-1478</v>
      </c>
      <c r="AW136" s="10">
        <v>-619</v>
      </c>
      <c r="AX136" s="10">
        <v>-1170</v>
      </c>
      <c r="AY136" s="10">
        <f t="shared" ref="AY136:AY182" si="13">SUM(AS136:AX136)</f>
        <v>5961</v>
      </c>
      <c r="AZ136" s="1">
        <v>38</v>
      </c>
      <c r="BA136" s="1">
        <v>162</v>
      </c>
      <c r="BB136" s="1">
        <v>64</v>
      </c>
      <c r="BC136" s="1">
        <v>280</v>
      </c>
      <c r="BD136" s="1">
        <v>113</v>
      </c>
    </row>
    <row r="137" spans="1:56" x14ac:dyDescent="0.25">
      <c r="A137" s="1">
        <v>17</v>
      </c>
      <c r="B137" s="1" t="s">
        <v>96</v>
      </c>
      <c r="C137" s="7" t="s">
        <v>155</v>
      </c>
      <c r="D137" s="1" t="s">
        <v>527</v>
      </c>
      <c r="E137" s="1" t="s">
        <v>101</v>
      </c>
      <c r="F137" s="7" t="s">
        <v>429</v>
      </c>
      <c r="G137" s="7" t="s">
        <v>102</v>
      </c>
      <c r="H137" s="10">
        <v>19555080</v>
      </c>
      <c r="I137" s="10">
        <v>692078</v>
      </c>
      <c r="J137" s="10">
        <v>7964237</v>
      </c>
      <c r="K137" s="10">
        <v>4054167</v>
      </c>
      <c r="L137" s="10">
        <v>3531786</v>
      </c>
      <c r="M137" s="10">
        <v>1614820</v>
      </c>
      <c r="N137" s="10">
        <v>27156</v>
      </c>
      <c r="O137" s="10">
        <v>18463322</v>
      </c>
      <c r="P137" s="23">
        <v>8.1000000000000003E-2</v>
      </c>
      <c r="Q137" s="10">
        <v>0</v>
      </c>
      <c r="R137" s="27">
        <f>1266872/18436166</f>
        <v>6.8716673520947902E-2</v>
      </c>
      <c r="S137" s="10">
        <v>1266959</v>
      </c>
      <c r="T137" s="10">
        <v>0</v>
      </c>
      <c r="U137" s="10">
        <f>49798+6042</f>
        <v>55840</v>
      </c>
      <c r="V137" s="10">
        <v>582899</v>
      </c>
      <c r="W137" s="10">
        <v>54308</v>
      </c>
      <c r="X137" s="10">
        <v>87975</v>
      </c>
      <c r="Y137" s="10">
        <v>109739</v>
      </c>
      <c r="Z137" s="10">
        <v>5086</v>
      </c>
      <c r="AA137" s="10">
        <v>25826</v>
      </c>
      <c r="AB137" s="10">
        <v>7035</v>
      </c>
      <c r="AC137" s="10">
        <f>18572+51736+48421</f>
        <v>118729</v>
      </c>
      <c r="AD137" s="10">
        <v>8264</v>
      </c>
      <c r="AE137" s="10">
        <v>1309</v>
      </c>
      <c r="AF137" s="10">
        <v>106207</v>
      </c>
      <c r="AG137" s="10">
        <v>0</v>
      </c>
      <c r="AH137" s="10">
        <v>1183861</v>
      </c>
      <c r="AI137" s="10">
        <v>1208084</v>
      </c>
      <c r="AJ137" s="23">
        <f t="shared" si="11"/>
        <v>0</v>
      </c>
      <c r="AK137" s="10">
        <v>117201</v>
      </c>
      <c r="AL137" s="10">
        <v>0</v>
      </c>
      <c r="AM137" s="10">
        <v>126473</v>
      </c>
      <c r="AN137" s="10">
        <v>0</v>
      </c>
      <c r="AO137" s="10">
        <v>200370</v>
      </c>
      <c r="AP137" s="10">
        <v>0</v>
      </c>
      <c r="AQ137" s="10">
        <v>0</v>
      </c>
      <c r="AR137" s="10">
        <v>0</v>
      </c>
      <c r="AS137" s="10">
        <v>3271</v>
      </c>
      <c r="AT137" s="10">
        <v>2099</v>
      </c>
      <c r="AU137" s="10">
        <v>-333</v>
      </c>
      <c r="AV137" s="10">
        <v>-756</v>
      </c>
      <c r="AW137" s="10">
        <v>-657</v>
      </c>
      <c r="AX137" s="10">
        <f>1164-33</f>
        <v>1131</v>
      </c>
      <c r="AY137" s="10">
        <f t="shared" si="13"/>
        <v>4755</v>
      </c>
      <c r="AZ137" s="1">
        <v>152</v>
      </c>
      <c r="BA137" s="1">
        <v>73</v>
      </c>
      <c r="BB137" s="1">
        <v>21</v>
      </c>
      <c r="BC137" s="1">
        <v>491</v>
      </c>
      <c r="BD137" s="1">
        <v>70</v>
      </c>
    </row>
    <row r="138" spans="1:56" x14ac:dyDescent="0.25">
      <c r="A138" s="1">
        <v>17</v>
      </c>
      <c r="B138" s="1" t="s">
        <v>168</v>
      </c>
      <c r="C138" s="1" t="s">
        <v>171</v>
      </c>
      <c r="D138" s="1" t="s">
        <v>528</v>
      </c>
      <c r="E138" s="1" t="s">
        <v>101</v>
      </c>
      <c r="F138" s="7" t="s">
        <v>429</v>
      </c>
      <c r="G138" s="7" t="s">
        <v>102</v>
      </c>
      <c r="H138" s="10">
        <v>31393626</v>
      </c>
      <c r="I138" s="10">
        <v>851099</v>
      </c>
      <c r="J138" s="10">
        <v>13605295</v>
      </c>
      <c r="K138" s="10">
        <v>5633575</v>
      </c>
      <c r="L138" s="10">
        <v>4697983</v>
      </c>
      <c r="M138" s="10">
        <v>4164993</v>
      </c>
      <c r="N138" s="10">
        <v>35209</v>
      </c>
      <c r="O138" s="10">
        <v>29755692</v>
      </c>
      <c r="P138" s="23">
        <v>8.6999999999999994E-2</v>
      </c>
      <c r="Q138" s="10">
        <v>0</v>
      </c>
      <c r="R138" s="27">
        <f>1903963/36033958</f>
        <v>5.2838020180852742E-2</v>
      </c>
      <c r="S138" s="10">
        <v>1903772</v>
      </c>
      <c r="T138" s="10">
        <v>0</v>
      </c>
      <c r="U138" s="10">
        <v>79479</v>
      </c>
      <c r="V138" s="10">
        <v>877273</v>
      </c>
      <c r="W138" s="10">
        <v>69576</v>
      </c>
      <c r="X138" s="10">
        <v>102659</v>
      </c>
      <c r="Y138" s="10">
        <v>199107</v>
      </c>
      <c r="Z138" s="10">
        <v>0</v>
      </c>
      <c r="AA138" s="10">
        <v>21924</v>
      </c>
      <c r="AB138" s="10">
        <v>9255</v>
      </c>
      <c r="AC138" s="10">
        <f>15523+74543+59898</f>
        <v>149964</v>
      </c>
      <c r="AD138" s="10">
        <v>12879</v>
      </c>
      <c r="AE138" s="10">
        <v>42880</v>
      </c>
      <c r="AF138" s="10">
        <v>4551</v>
      </c>
      <c r="AG138" s="10">
        <v>0</v>
      </c>
      <c r="AH138" s="10">
        <v>1577634</v>
      </c>
      <c r="AI138" s="10">
        <v>1579892</v>
      </c>
      <c r="AJ138" s="23">
        <f t="shared" si="11"/>
        <v>0</v>
      </c>
      <c r="AK138" s="10">
        <v>232146</v>
      </c>
      <c r="AL138" s="10">
        <v>0</v>
      </c>
      <c r="AM138" s="10">
        <v>126473</v>
      </c>
      <c r="AN138" s="10">
        <v>0</v>
      </c>
      <c r="AO138" s="10">
        <v>255012</v>
      </c>
      <c r="AP138" s="10">
        <v>0</v>
      </c>
      <c r="AQ138" s="10">
        <v>0</v>
      </c>
      <c r="AR138" s="10">
        <v>0</v>
      </c>
      <c r="AS138" s="10">
        <v>6943</v>
      </c>
      <c r="AT138" s="10">
        <v>3822</v>
      </c>
      <c r="AU138" s="10">
        <v>-279</v>
      </c>
      <c r="AV138" s="10">
        <v>-1540</v>
      </c>
      <c r="AW138" s="10">
        <v>-1167</v>
      </c>
      <c r="AX138" s="10">
        <f>24-1</f>
        <v>23</v>
      </c>
      <c r="AY138" s="10">
        <f t="shared" si="13"/>
        <v>7802</v>
      </c>
      <c r="AZ138" s="1">
        <v>248</v>
      </c>
      <c r="BA138" s="1" t="s">
        <v>405</v>
      </c>
      <c r="BB138" s="1" t="s">
        <v>405</v>
      </c>
      <c r="BC138" s="1" t="s">
        <v>405</v>
      </c>
      <c r="BD138" s="1" t="s">
        <v>405</v>
      </c>
    </row>
    <row r="139" spans="1:56" x14ac:dyDescent="0.25">
      <c r="A139" s="1">
        <v>17</v>
      </c>
      <c r="B139" s="1" t="s">
        <v>200</v>
      </c>
      <c r="C139" s="7" t="s">
        <v>349</v>
      </c>
      <c r="D139" s="1" t="s">
        <v>224</v>
      </c>
      <c r="E139" s="1" t="s">
        <v>101</v>
      </c>
      <c r="F139" s="7" t="s">
        <v>188</v>
      </c>
      <c r="G139" s="7" t="s">
        <v>102</v>
      </c>
      <c r="H139" s="10">
        <v>12691232</v>
      </c>
      <c r="I139" s="10">
        <v>693308</v>
      </c>
      <c r="J139" s="10">
        <v>6474443</v>
      </c>
      <c r="K139" s="10">
        <v>1584176</v>
      </c>
      <c r="L139" s="10">
        <v>2315092</v>
      </c>
      <c r="M139" s="10">
        <v>688828</v>
      </c>
      <c r="N139" s="10">
        <v>46756</v>
      </c>
      <c r="O139" s="10">
        <v>11912105</v>
      </c>
      <c r="P139" s="23">
        <v>0.14000000000000001</v>
      </c>
      <c r="Q139" s="10">
        <v>115697</v>
      </c>
      <c r="R139" s="27">
        <f>802810/11749652</f>
        <v>6.8326278940006049E-2</v>
      </c>
      <c r="S139" s="10">
        <v>802810</v>
      </c>
      <c r="T139" s="10">
        <v>0</v>
      </c>
      <c r="U139" s="10">
        <f>109809+1784</f>
        <v>111593</v>
      </c>
      <c r="V139" s="10">
        <v>360619</v>
      </c>
      <c r="W139" s="10">
        <v>29795</v>
      </c>
      <c r="X139" s="10">
        <v>58205</v>
      </c>
      <c r="Y139" s="10">
        <f>44559+7409</f>
        <v>51968</v>
      </c>
      <c r="Z139" s="10">
        <v>15892</v>
      </c>
      <c r="AA139" s="10">
        <v>67862</v>
      </c>
      <c r="AB139" s="10">
        <v>48167</v>
      </c>
      <c r="AC139" s="10">
        <f>7953+49574+57361</f>
        <v>114888</v>
      </c>
      <c r="AD139" s="10">
        <v>4497</v>
      </c>
      <c r="AE139" s="10">
        <v>1325</v>
      </c>
      <c r="AF139" s="10">
        <v>28651</v>
      </c>
      <c r="AG139" s="10">
        <v>41040</v>
      </c>
      <c r="AH139" s="10">
        <v>827507</v>
      </c>
      <c r="AI139" s="10">
        <v>873581</v>
      </c>
      <c r="AJ139" s="23">
        <f t="shared" si="11"/>
        <v>4.95947466305421E-2</v>
      </c>
      <c r="AK139" s="10">
        <v>97088</v>
      </c>
      <c r="AL139" s="10">
        <v>0</v>
      </c>
      <c r="AM139" s="10">
        <v>126473</v>
      </c>
      <c r="AN139" s="10">
        <v>0</v>
      </c>
      <c r="AO139" s="10">
        <v>104267</v>
      </c>
      <c r="AP139" s="10">
        <v>0</v>
      </c>
      <c r="AQ139" s="10">
        <v>0</v>
      </c>
      <c r="AR139" s="10">
        <v>0</v>
      </c>
      <c r="AS139" s="10">
        <v>2086</v>
      </c>
      <c r="AT139" s="10">
        <v>1276</v>
      </c>
      <c r="AU139" s="10">
        <v>-202</v>
      </c>
      <c r="AV139" s="10">
        <v>-627</v>
      </c>
      <c r="AW139" s="10">
        <v>-383</v>
      </c>
      <c r="AX139" s="10">
        <v>0</v>
      </c>
      <c r="AY139" s="10">
        <f t="shared" si="13"/>
        <v>2150</v>
      </c>
      <c r="AZ139" s="1">
        <v>73</v>
      </c>
      <c r="BA139" s="1" t="s">
        <v>405</v>
      </c>
      <c r="BB139" s="1" t="s">
        <v>405</v>
      </c>
      <c r="BC139" s="1" t="s">
        <v>405</v>
      </c>
      <c r="BD139" s="1" t="s">
        <v>405</v>
      </c>
    </row>
    <row r="140" spans="1:56" x14ac:dyDescent="0.25">
      <c r="A140" s="1">
        <v>17</v>
      </c>
      <c r="B140" s="1" t="s">
        <v>337</v>
      </c>
      <c r="C140" s="7" t="s">
        <v>330</v>
      </c>
      <c r="D140" s="1" t="s">
        <v>520</v>
      </c>
      <c r="E140" s="1" t="s">
        <v>101</v>
      </c>
      <c r="F140" s="7" t="s">
        <v>188</v>
      </c>
      <c r="G140" s="7" t="s">
        <v>102</v>
      </c>
      <c r="H140" s="10">
        <v>20443150</v>
      </c>
      <c r="I140" s="10">
        <v>1218651</v>
      </c>
      <c r="J140" s="10">
        <v>10064051</v>
      </c>
      <c r="K140" s="10">
        <v>2536283</v>
      </c>
      <c r="L140" s="10">
        <v>3646821</v>
      </c>
      <c r="M140" s="10">
        <v>1076429</v>
      </c>
      <c r="N140" s="10">
        <v>153206</v>
      </c>
      <c r="O140" s="10">
        <v>18707392</v>
      </c>
      <c r="P140" s="23">
        <v>0.12</v>
      </c>
      <c r="Q140" s="10">
        <v>0</v>
      </c>
      <c r="R140" s="27">
        <f>1166261/18554186</f>
        <v>6.2857028597212511E-2</v>
      </c>
      <c r="S140" s="10">
        <v>1161401</v>
      </c>
      <c r="T140" s="10">
        <v>0</v>
      </c>
      <c r="U140" s="10">
        <f>63650+1076+816</f>
        <v>65542</v>
      </c>
      <c r="V140" s="10">
        <v>693784</v>
      </c>
      <c r="W140" s="10">
        <v>63166</v>
      </c>
      <c r="X140" s="10">
        <v>73378</v>
      </c>
      <c r="Y140" s="10">
        <v>95416</v>
      </c>
      <c r="Z140" s="10">
        <v>1728</v>
      </c>
      <c r="AA140" s="10">
        <v>19312</v>
      </c>
      <c r="AB140" s="10">
        <v>326</v>
      </c>
      <c r="AC140" s="10">
        <f>23817+64799+44293</f>
        <v>132909</v>
      </c>
      <c r="AD140" s="10">
        <v>13526</v>
      </c>
      <c r="AE140" s="10">
        <v>651</v>
      </c>
      <c r="AF140" s="10">
        <v>15727</v>
      </c>
      <c r="AG140" s="10">
        <v>90566</v>
      </c>
      <c r="AH140" s="10">
        <v>1174267</v>
      </c>
      <c r="AI140" s="10">
        <v>1177558</v>
      </c>
      <c r="AJ140" s="23">
        <f t="shared" ref="AJ140:AJ171" si="14">AG140/AH140</f>
        <v>7.7125560030214591E-2</v>
      </c>
      <c r="AK140" s="10">
        <v>94162</v>
      </c>
      <c r="AL140" s="10">
        <v>0</v>
      </c>
      <c r="AM140" s="10">
        <v>126473</v>
      </c>
      <c r="AN140" s="10">
        <v>0</v>
      </c>
      <c r="AO140" s="10">
        <v>183821</v>
      </c>
      <c r="AP140" s="10">
        <v>0</v>
      </c>
      <c r="AQ140" s="10">
        <v>0</v>
      </c>
      <c r="AR140" s="10">
        <v>0</v>
      </c>
      <c r="AS140" s="10">
        <v>4764</v>
      </c>
      <c r="AT140" s="10">
        <v>3054</v>
      </c>
      <c r="AU140" s="10">
        <v>-479</v>
      </c>
      <c r="AV140" s="10">
        <v>-1682</v>
      </c>
      <c r="AW140" s="10">
        <v>-362</v>
      </c>
      <c r="AX140" s="10">
        <v>-2</v>
      </c>
      <c r="AY140" s="10">
        <f t="shared" si="13"/>
        <v>5293</v>
      </c>
      <c r="AZ140" s="1">
        <v>26</v>
      </c>
      <c r="BA140" s="1" t="s">
        <v>405</v>
      </c>
      <c r="BB140" s="1" t="s">
        <v>405</v>
      </c>
      <c r="BC140" s="1" t="s">
        <v>405</v>
      </c>
      <c r="BD140" s="1" t="s">
        <v>405</v>
      </c>
    </row>
    <row r="141" spans="1:56" x14ac:dyDescent="0.25">
      <c r="A141" s="1">
        <v>17</v>
      </c>
      <c r="B141" s="1" t="s">
        <v>366</v>
      </c>
      <c r="C141" s="7" t="s">
        <v>303</v>
      </c>
      <c r="D141" s="1" t="s">
        <v>325</v>
      </c>
      <c r="E141" s="1" t="s">
        <v>433</v>
      </c>
      <c r="F141" s="7"/>
      <c r="G141" s="7" t="s">
        <v>414</v>
      </c>
      <c r="H141" s="10">
        <v>16960231</v>
      </c>
      <c r="I141" s="10">
        <v>584398</v>
      </c>
      <c r="J141" s="10">
        <v>5743299</v>
      </c>
      <c r="K141" s="10">
        <v>3315035</v>
      </c>
      <c r="L141" s="10">
        <v>2758316</v>
      </c>
      <c r="M141" s="10">
        <v>2678178</v>
      </c>
      <c r="N141" s="10">
        <v>44204</v>
      </c>
      <c r="O141" s="10">
        <v>15584157</v>
      </c>
      <c r="P141" s="23">
        <v>0.12230000000000001</v>
      </c>
      <c r="Q141" s="10">
        <v>0</v>
      </c>
      <c r="R141" s="27">
        <f>1000455/15471261</f>
        <v>6.4665381832805999E-2</v>
      </c>
      <c r="S141" s="10">
        <v>997603</v>
      </c>
      <c r="T141" s="10">
        <v>0</v>
      </c>
      <c r="U141" s="10">
        <f>107669+9505</f>
        <v>117174</v>
      </c>
      <c r="V141" s="10">
        <v>559079</v>
      </c>
      <c r="W141" s="10">
        <v>52140</v>
      </c>
      <c r="X141" s="10">
        <v>68536</v>
      </c>
      <c r="Y141" s="10">
        <v>98663</v>
      </c>
      <c r="Z141" s="10">
        <v>0</v>
      </c>
      <c r="AA141" s="10">
        <v>15816</v>
      </c>
      <c r="AB141" s="10">
        <v>17770</v>
      </c>
      <c r="AC141" s="10">
        <f>15776+25000+32004</f>
        <v>72780</v>
      </c>
      <c r="AD141" s="10">
        <v>16019</v>
      </c>
      <c r="AE141" s="10">
        <v>9479</v>
      </c>
      <c r="AF141" s="10">
        <v>35871</v>
      </c>
      <c r="AG141" s="10">
        <v>160</v>
      </c>
      <c r="AH141" s="10">
        <v>1000386</v>
      </c>
      <c r="AI141" s="10">
        <v>1026915</v>
      </c>
      <c r="AJ141" s="23">
        <f t="shared" si="14"/>
        <v>1.5993826383016156E-4</v>
      </c>
      <c r="AK141" s="10">
        <v>140237</v>
      </c>
      <c r="AL141" s="10">
        <v>182</v>
      </c>
      <c r="AM141" s="10">
        <v>126473</v>
      </c>
      <c r="AN141" s="10">
        <v>0</v>
      </c>
      <c r="AO141" s="10">
        <v>175324</v>
      </c>
      <c r="AP141" s="10">
        <v>5258</v>
      </c>
      <c r="AQ141" s="10">
        <v>5258</v>
      </c>
      <c r="AR141" s="10">
        <v>0</v>
      </c>
      <c r="AS141" s="10">
        <v>4633</v>
      </c>
      <c r="AT141" s="10">
        <v>3114</v>
      </c>
      <c r="AU141" s="10">
        <v>-246</v>
      </c>
      <c r="AV141" s="10">
        <v>-970</v>
      </c>
      <c r="AW141" s="10">
        <v>-577</v>
      </c>
      <c r="AX141" s="10">
        <f>8-1</f>
        <v>7</v>
      </c>
      <c r="AY141" s="10">
        <f t="shared" si="13"/>
        <v>5961</v>
      </c>
      <c r="AZ141" s="1">
        <v>43</v>
      </c>
      <c r="BA141" s="1">
        <v>71</v>
      </c>
      <c r="BB141" s="1">
        <v>33</v>
      </c>
      <c r="BC141" s="1">
        <v>243</v>
      </c>
      <c r="BD141" s="1">
        <v>230</v>
      </c>
    </row>
    <row r="142" spans="1:56" x14ac:dyDescent="0.25">
      <c r="A142" s="1">
        <v>17</v>
      </c>
      <c r="B142" s="1" t="s">
        <v>375</v>
      </c>
      <c r="C142" s="7" t="s">
        <v>378</v>
      </c>
      <c r="D142" s="1" t="s">
        <v>224</v>
      </c>
      <c r="E142" s="1" t="s">
        <v>101</v>
      </c>
      <c r="F142" s="7" t="s">
        <v>188</v>
      </c>
      <c r="G142" s="7" t="s">
        <v>102</v>
      </c>
      <c r="H142" s="10">
        <v>17412137</v>
      </c>
      <c r="I142" s="10">
        <v>559584</v>
      </c>
      <c r="J142" s="10">
        <v>10408741</v>
      </c>
      <c r="K142" s="10">
        <v>2162347</v>
      </c>
      <c r="L142" s="10">
        <v>2646411</v>
      </c>
      <c r="M142" s="10">
        <v>752815</v>
      </c>
      <c r="N142" s="10">
        <v>25898</v>
      </c>
      <c r="O142" s="10">
        <v>16945796</v>
      </c>
      <c r="P142" s="23">
        <v>2.92E-2</v>
      </c>
      <c r="Q142" s="10">
        <v>3643536</v>
      </c>
      <c r="R142" s="27">
        <f>929345/13276362</f>
        <v>6.9999974390574773E-2</v>
      </c>
      <c r="S142" s="10">
        <v>927743</v>
      </c>
      <c r="T142" s="10">
        <v>0</v>
      </c>
      <c r="U142" s="10">
        <f>68096+1245</f>
        <v>69341</v>
      </c>
      <c r="V142" s="10">
        <v>504998</v>
      </c>
      <c r="W142" s="10">
        <v>45386</v>
      </c>
      <c r="X142" s="10">
        <v>57923</v>
      </c>
      <c r="Y142" s="10">
        <f>90946+8596</f>
        <v>99542</v>
      </c>
      <c r="Z142" s="10">
        <v>2004</v>
      </c>
      <c r="AA142" s="10">
        <v>16982</v>
      </c>
      <c r="AB142" s="10">
        <v>6925</v>
      </c>
      <c r="AC142" s="10">
        <f>20297+31832+50428</f>
        <v>102557</v>
      </c>
      <c r="AD142" s="10">
        <v>9804</v>
      </c>
      <c r="AE142" s="10">
        <v>11589</v>
      </c>
      <c r="AF142" s="10">
        <v>3645</v>
      </c>
      <c r="AG142" s="10">
        <v>0</v>
      </c>
      <c r="AH142" s="10">
        <v>914838</v>
      </c>
      <c r="AI142" s="10">
        <v>987777</v>
      </c>
      <c r="AJ142" s="23">
        <f t="shared" si="14"/>
        <v>0</v>
      </c>
      <c r="AK142" s="10">
        <v>158496</v>
      </c>
      <c r="AL142" s="10">
        <v>0</v>
      </c>
      <c r="AM142" s="10">
        <v>126473</v>
      </c>
      <c r="AN142" s="10">
        <v>0</v>
      </c>
      <c r="AO142" s="10">
        <v>140167</v>
      </c>
      <c r="AP142" s="10">
        <v>0</v>
      </c>
      <c r="AQ142" s="10">
        <v>0</v>
      </c>
      <c r="AR142" s="10">
        <v>0</v>
      </c>
      <c r="AS142" s="10">
        <v>3385</v>
      </c>
      <c r="AT142" s="10">
        <v>977</v>
      </c>
      <c r="AU142" s="10">
        <v>-331</v>
      </c>
      <c r="AV142" s="10">
        <v>-489</v>
      </c>
      <c r="AW142" s="10">
        <v>-505</v>
      </c>
      <c r="AX142" s="10">
        <f>-1-7</f>
        <v>-8</v>
      </c>
      <c r="AY142" s="10">
        <f t="shared" si="13"/>
        <v>3029</v>
      </c>
      <c r="AZ142" s="1">
        <v>54</v>
      </c>
      <c r="BA142" s="1" t="s">
        <v>406</v>
      </c>
      <c r="BB142" s="1" t="s">
        <v>406</v>
      </c>
      <c r="BC142" s="1" t="s">
        <v>406</v>
      </c>
      <c r="BD142" s="1" t="s">
        <v>406</v>
      </c>
    </row>
    <row r="143" spans="1:56" x14ac:dyDescent="0.25">
      <c r="A143" s="1">
        <v>17</v>
      </c>
      <c r="B143" s="1" t="s">
        <v>535</v>
      </c>
      <c r="C143" s="7" t="s">
        <v>36</v>
      </c>
      <c r="D143" s="1" t="s">
        <v>496</v>
      </c>
      <c r="E143" s="1" t="s">
        <v>433</v>
      </c>
      <c r="F143" s="7"/>
      <c r="G143" s="7" t="s">
        <v>414</v>
      </c>
      <c r="H143" s="10">
        <v>4021429</v>
      </c>
      <c r="I143" s="10">
        <v>134356</v>
      </c>
      <c r="J143" s="10">
        <v>1270643</v>
      </c>
      <c r="K143" s="10">
        <v>640306</v>
      </c>
      <c r="L143" s="10">
        <v>910960</v>
      </c>
      <c r="M143" s="10">
        <v>534128</v>
      </c>
      <c r="N143" s="10">
        <v>6144</v>
      </c>
      <c r="O143" s="10">
        <v>3698252</v>
      </c>
      <c r="P143" s="23">
        <v>0.14000000000000001</v>
      </c>
      <c r="Q143" s="10">
        <v>0</v>
      </c>
      <c r="R143" s="27">
        <f>335840/3692108</f>
        <v>9.0961586172452161E-2</v>
      </c>
      <c r="S143" s="10">
        <v>336071</v>
      </c>
      <c r="T143" s="10">
        <v>225</v>
      </c>
      <c r="U143">
        <f>14681+558</f>
        <v>15239</v>
      </c>
      <c r="V143" s="10">
        <v>93236</v>
      </c>
      <c r="W143" s="10">
        <v>10283</v>
      </c>
      <c r="X143" s="10">
        <v>3426</v>
      </c>
      <c r="Y143" s="10">
        <f>17280+2787</f>
        <v>20067</v>
      </c>
      <c r="Z143" s="10">
        <v>6289</v>
      </c>
      <c r="AA143" s="10">
        <v>6872</v>
      </c>
      <c r="AB143" s="10">
        <v>47319</v>
      </c>
      <c r="AC143" s="10">
        <f>4264+6604+5514</f>
        <v>16382</v>
      </c>
      <c r="AD143" s="10">
        <v>1696</v>
      </c>
      <c r="AE143" s="10">
        <v>984</v>
      </c>
      <c r="AF143" s="10">
        <v>5695</v>
      </c>
      <c r="AG143" s="10">
        <v>58081</v>
      </c>
      <c r="AH143" s="10">
        <v>226454</v>
      </c>
      <c r="AI143" s="10">
        <v>228143</v>
      </c>
      <c r="AJ143" s="23">
        <f t="shared" si="14"/>
        <v>0.25648034479408621</v>
      </c>
      <c r="AK143" s="10">
        <v>24070</v>
      </c>
      <c r="AL143" s="10">
        <v>0</v>
      </c>
      <c r="AM143" s="10">
        <v>126473</v>
      </c>
      <c r="AN143" s="10">
        <v>0</v>
      </c>
      <c r="AO143" s="10">
        <v>29500</v>
      </c>
      <c r="AP143" s="10">
        <v>0</v>
      </c>
      <c r="AQ143" s="10">
        <v>0</v>
      </c>
      <c r="AR143" s="10">
        <v>0</v>
      </c>
      <c r="AS143" s="10">
        <v>838</v>
      </c>
      <c r="AT143" s="10">
        <v>442</v>
      </c>
      <c r="AU143" s="10">
        <v>-64</v>
      </c>
      <c r="AV143" s="10">
        <v>-176</v>
      </c>
      <c r="AW143" s="10">
        <v>-108</v>
      </c>
      <c r="AX143" s="10">
        <f>-1+10</f>
        <v>9</v>
      </c>
      <c r="AY143" s="10">
        <f t="shared" si="13"/>
        <v>941</v>
      </c>
      <c r="AZ143" s="1">
        <v>2</v>
      </c>
      <c r="BA143" s="1">
        <v>28</v>
      </c>
      <c r="BB143" s="1">
        <v>15</v>
      </c>
      <c r="BC143" s="1">
        <v>60</v>
      </c>
      <c r="BD143" s="1">
        <v>5</v>
      </c>
    </row>
    <row r="144" spans="1:56" x14ac:dyDescent="0.25">
      <c r="A144" s="1">
        <v>18</v>
      </c>
      <c r="B144" s="1" t="s">
        <v>92</v>
      </c>
      <c r="C144" s="7" t="s">
        <v>153</v>
      </c>
      <c r="D144" s="1" t="s">
        <v>562</v>
      </c>
      <c r="E144" s="1" t="s">
        <v>617</v>
      </c>
      <c r="F144" s="7" t="s">
        <v>188</v>
      </c>
      <c r="G144" s="7" t="s">
        <v>621</v>
      </c>
      <c r="H144" s="10">
        <v>7939431</v>
      </c>
      <c r="I144" s="10">
        <v>393119</v>
      </c>
      <c r="J144" s="10">
        <v>3387264</v>
      </c>
      <c r="K144" s="10">
        <v>980540</v>
      </c>
      <c r="L144" s="10">
        <v>1271196</v>
      </c>
      <c r="M144" s="10">
        <v>345541</v>
      </c>
      <c r="N144" s="10">
        <v>28674</v>
      </c>
      <c r="O144" s="10">
        <v>6659785</v>
      </c>
      <c r="P144" s="23">
        <v>0.22</v>
      </c>
      <c r="Q144" s="10">
        <v>0</v>
      </c>
      <c r="R144" s="27">
        <f>557576/5748209</f>
        <v>9.6999952506946083E-2</v>
      </c>
      <c r="S144" s="10">
        <v>555993</v>
      </c>
      <c r="T144" s="10">
        <v>0</v>
      </c>
      <c r="U144" s="10">
        <f>26245+1168</f>
        <v>27413</v>
      </c>
      <c r="V144" s="10">
        <v>267997</v>
      </c>
      <c r="W144" s="10">
        <v>23606</v>
      </c>
      <c r="X144" s="10">
        <v>39640</v>
      </c>
      <c r="Y144" s="10">
        <v>35305</v>
      </c>
      <c r="Z144" s="10">
        <v>0</v>
      </c>
      <c r="AA144" s="10">
        <v>18918</v>
      </c>
      <c r="AB144" s="10">
        <v>58</v>
      </c>
      <c r="AC144" s="10">
        <f>7999+18000+10983</f>
        <v>36982</v>
      </c>
      <c r="AD144" s="10">
        <v>12371</v>
      </c>
      <c r="AE144" s="10">
        <v>8012</v>
      </c>
      <c r="AF144" s="10">
        <v>69660</v>
      </c>
      <c r="AG144" s="10">
        <v>0</v>
      </c>
      <c r="AH144" s="10">
        <v>562259</v>
      </c>
      <c r="AI144" s="10">
        <v>586342</v>
      </c>
      <c r="AJ144" s="23">
        <f t="shared" si="14"/>
        <v>0</v>
      </c>
      <c r="AK144" s="10">
        <v>69176</v>
      </c>
      <c r="AL144" s="10">
        <v>0</v>
      </c>
      <c r="AM144" s="10">
        <v>126473</v>
      </c>
      <c r="AN144" s="10">
        <v>0</v>
      </c>
      <c r="AO144" s="10">
        <v>81459</v>
      </c>
      <c r="AP144" s="10">
        <v>0</v>
      </c>
      <c r="AQ144" s="10">
        <v>0</v>
      </c>
      <c r="AR144" s="10">
        <v>0</v>
      </c>
      <c r="AS144" s="10">
        <v>1916</v>
      </c>
      <c r="AT144" s="10">
        <v>1109</v>
      </c>
      <c r="AU144" s="10">
        <v>-172</v>
      </c>
      <c r="AV144" s="10">
        <v>-251</v>
      </c>
      <c r="AW144" s="10">
        <v>-262</v>
      </c>
      <c r="AX144" s="10">
        <v>48</v>
      </c>
      <c r="AY144" s="10">
        <f t="shared" si="13"/>
        <v>2388</v>
      </c>
      <c r="AZ144" s="1">
        <v>49</v>
      </c>
      <c r="BA144" s="1">
        <v>94</v>
      </c>
      <c r="BB144" s="1">
        <v>20</v>
      </c>
      <c r="BC144" s="1">
        <v>74</v>
      </c>
      <c r="BD144" s="1">
        <v>67</v>
      </c>
    </row>
    <row r="145" spans="1:56" x14ac:dyDescent="0.25">
      <c r="A145" s="1">
        <v>18</v>
      </c>
      <c r="B145" s="1" t="s">
        <v>135</v>
      </c>
      <c r="C145" s="7" t="s">
        <v>324</v>
      </c>
      <c r="D145" s="1" t="s">
        <v>37</v>
      </c>
      <c r="E145" s="1" t="s">
        <v>25</v>
      </c>
      <c r="F145" s="7"/>
      <c r="G145" s="7" t="s">
        <v>27</v>
      </c>
      <c r="H145" s="10">
        <v>1446238</v>
      </c>
      <c r="I145" s="10">
        <v>124504</v>
      </c>
      <c r="J145" s="10">
        <v>615001</v>
      </c>
      <c r="K145" s="10">
        <v>257924</v>
      </c>
      <c r="L145" s="10">
        <v>271837</v>
      </c>
      <c r="M145" s="10">
        <v>44490</v>
      </c>
      <c r="N145" s="10">
        <v>9944</v>
      </c>
      <c r="O145" s="10">
        <v>1339346</v>
      </c>
      <c r="P145" s="23">
        <v>0.11</v>
      </c>
      <c r="Q145" s="10">
        <v>0</v>
      </c>
      <c r="R145" s="27">
        <f>132410/1324101</f>
        <v>9.9999924477060284E-2</v>
      </c>
      <c r="S145" s="10">
        <v>132147</v>
      </c>
      <c r="T145" s="10">
        <v>0</v>
      </c>
      <c r="U145" s="10">
        <f>2695+210+226</f>
        <v>3131</v>
      </c>
      <c r="V145" s="10">
        <v>47289</v>
      </c>
      <c r="W145" s="10">
        <v>6028</v>
      </c>
      <c r="X145" s="10">
        <v>0</v>
      </c>
      <c r="Y145" s="10">
        <v>10388</v>
      </c>
      <c r="Z145" s="10">
        <v>0</v>
      </c>
      <c r="AA145" s="10">
        <v>2878</v>
      </c>
      <c r="AB145" s="10">
        <v>0</v>
      </c>
      <c r="AC145" s="10">
        <f>4301+1575+1995</f>
        <v>7871</v>
      </c>
      <c r="AD145" s="10">
        <v>3595</v>
      </c>
      <c r="AE145" s="10">
        <v>198</v>
      </c>
      <c r="AF145" s="10">
        <v>2500</v>
      </c>
      <c r="AG145" s="10">
        <v>32506</v>
      </c>
      <c r="AH145" s="10">
        <v>85599</v>
      </c>
      <c r="AI145" s="10">
        <v>87210</v>
      </c>
      <c r="AJ145" s="23">
        <f t="shared" si="14"/>
        <v>0.3797474269559224</v>
      </c>
      <c r="AK145" s="10">
        <v>3910</v>
      </c>
      <c r="AL145" s="10">
        <v>0</v>
      </c>
      <c r="AM145" s="10">
        <v>66050</v>
      </c>
      <c r="AN145" s="10">
        <v>0</v>
      </c>
      <c r="AO145" s="10">
        <v>2591</v>
      </c>
      <c r="AP145" s="10">
        <v>0</v>
      </c>
      <c r="AQ145" s="10">
        <v>0</v>
      </c>
      <c r="AR145" s="10">
        <v>0</v>
      </c>
      <c r="AS145" s="10">
        <v>200</v>
      </c>
      <c r="AT145" s="10">
        <v>117</v>
      </c>
      <c r="AU145" s="10">
        <v>-19</v>
      </c>
      <c r="AV145" s="10">
        <v>-54</v>
      </c>
      <c r="AW145" s="10">
        <v>-26</v>
      </c>
      <c r="AX145" s="10">
        <f>1+8-1</f>
        <v>8</v>
      </c>
      <c r="AY145" s="10">
        <f t="shared" si="13"/>
        <v>226</v>
      </c>
      <c r="AZ145" s="1">
        <v>0</v>
      </c>
      <c r="BA145" s="1" t="s">
        <v>406</v>
      </c>
      <c r="BB145" s="1" t="s">
        <v>406</v>
      </c>
      <c r="BC145" s="1" t="s">
        <v>406</v>
      </c>
      <c r="BD145" s="1" t="s">
        <v>406</v>
      </c>
    </row>
    <row r="146" spans="1:56" x14ac:dyDescent="0.25">
      <c r="A146" s="1">
        <v>18</v>
      </c>
      <c r="B146" s="1" t="s">
        <v>185</v>
      </c>
      <c r="C146" s="7" t="s">
        <v>506</v>
      </c>
      <c r="D146" s="1" t="s">
        <v>240</v>
      </c>
      <c r="E146" s="1" t="s">
        <v>399</v>
      </c>
      <c r="F146" s="7"/>
      <c r="G146" s="7" t="s">
        <v>394</v>
      </c>
      <c r="H146" s="10">
        <v>2999904</v>
      </c>
      <c r="I146" s="10">
        <v>167136</v>
      </c>
      <c r="J146" s="10">
        <v>1246781</v>
      </c>
      <c r="K146" s="10">
        <v>276876</v>
      </c>
      <c r="L146" s="10">
        <v>617436</v>
      </c>
      <c r="M146" s="10">
        <v>260995</v>
      </c>
      <c r="N146" s="10">
        <v>0</v>
      </c>
      <c r="O146" s="10">
        <v>2716983</v>
      </c>
      <c r="P146" s="23">
        <v>0.127</v>
      </c>
      <c r="Q146" s="10">
        <v>0</v>
      </c>
      <c r="R146" s="27">
        <f>271698/2716983</f>
        <v>9.9999889583409246E-2</v>
      </c>
      <c r="S146" s="10">
        <v>269864</v>
      </c>
      <c r="T146" s="10">
        <v>0</v>
      </c>
      <c r="U146" s="10">
        <f>7289+1186+274</f>
        <v>8749</v>
      </c>
      <c r="V146" s="10">
        <v>73770</v>
      </c>
      <c r="W146" s="10">
        <v>0</v>
      </c>
      <c r="X146" s="10">
        <v>0</v>
      </c>
      <c r="Y146" s="10">
        <v>18900</v>
      </c>
      <c r="Z146" s="10">
        <v>6232</v>
      </c>
      <c r="AA146" s="10">
        <v>8444</v>
      </c>
      <c r="AB146" s="10">
        <v>7908</v>
      </c>
      <c r="AC146" s="10">
        <f>5134+6128+3778</f>
        <v>15040</v>
      </c>
      <c r="AD146" s="10">
        <v>2496</v>
      </c>
      <c r="AE146" s="10">
        <v>0</v>
      </c>
      <c r="AF146" s="10">
        <v>3967</v>
      </c>
      <c r="AG146" s="10">
        <v>115423</v>
      </c>
      <c r="AH146" s="10">
        <v>162081</v>
      </c>
      <c r="AI146" s="10">
        <v>167838</v>
      </c>
      <c r="AJ146" s="23">
        <f t="shared" si="14"/>
        <v>0.71213158852672431</v>
      </c>
      <c r="AK146" s="10">
        <v>538</v>
      </c>
      <c r="AL146" s="10">
        <v>0</v>
      </c>
      <c r="AM146" s="10">
        <v>115751</v>
      </c>
      <c r="AN146" s="10">
        <v>0</v>
      </c>
      <c r="AO146" s="10">
        <v>1052</v>
      </c>
      <c r="AP146" s="10">
        <v>0</v>
      </c>
      <c r="AQ146" s="10">
        <v>0</v>
      </c>
      <c r="AR146" s="10">
        <v>0</v>
      </c>
      <c r="AS146" s="10">
        <v>949</v>
      </c>
      <c r="AT146" s="10">
        <v>751</v>
      </c>
      <c r="AU146" s="10">
        <v>-115</v>
      </c>
      <c r="AV146" s="10">
        <v>-270</v>
      </c>
      <c r="AW146" s="10">
        <v>-109</v>
      </c>
      <c r="AX146" s="10">
        <v>17</v>
      </c>
      <c r="AY146" s="10">
        <f t="shared" si="13"/>
        <v>1223</v>
      </c>
      <c r="AZ146" s="1">
        <v>1</v>
      </c>
      <c r="BA146" s="1" t="s">
        <v>406</v>
      </c>
      <c r="BB146" s="1" t="s">
        <v>406</v>
      </c>
      <c r="BC146" s="1" t="s">
        <v>406</v>
      </c>
      <c r="BD146" s="1" t="s">
        <v>406</v>
      </c>
    </row>
    <row r="147" spans="1:56" x14ac:dyDescent="0.25">
      <c r="A147" s="1">
        <v>18</v>
      </c>
      <c r="B147" s="1" t="s">
        <v>214</v>
      </c>
      <c r="C147" s="7" t="s">
        <v>317</v>
      </c>
      <c r="D147" s="1" t="s">
        <v>471</v>
      </c>
      <c r="E147" s="1" t="s">
        <v>274</v>
      </c>
      <c r="F147" s="7" t="s">
        <v>10</v>
      </c>
      <c r="G147" s="7" t="s">
        <v>275</v>
      </c>
      <c r="H147" s="10">
        <v>2417095</v>
      </c>
      <c r="I147" s="10">
        <v>154203</v>
      </c>
      <c r="J147" s="10">
        <v>1006406</v>
      </c>
      <c r="K147" s="10">
        <v>239293</v>
      </c>
      <c r="L147" s="10">
        <v>677499</v>
      </c>
      <c r="M147" s="10">
        <v>70023</v>
      </c>
      <c r="N147" s="10">
        <v>964</v>
      </c>
      <c r="O147" s="10">
        <v>2197199</v>
      </c>
      <c r="P147" s="23">
        <v>0.09</v>
      </c>
      <c r="Q147" s="10">
        <f>25791+75378+47068</f>
        <v>148237</v>
      </c>
      <c r="R147" s="27">
        <v>9.8000000000000004E-2</v>
      </c>
      <c r="S147" s="10">
        <v>200722</v>
      </c>
      <c r="T147" s="10">
        <v>0</v>
      </c>
      <c r="U147" s="10">
        <f>4132+186</f>
        <v>4318</v>
      </c>
      <c r="V147" s="10">
        <v>45306</v>
      </c>
      <c r="W147" s="10">
        <v>1225</v>
      </c>
      <c r="X147" s="10">
        <v>8077</v>
      </c>
      <c r="Y147" s="10">
        <v>11520</v>
      </c>
      <c r="Z147" s="10">
        <v>0</v>
      </c>
      <c r="AA147" s="10">
        <v>625</v>
      </c>
      <c r="AB147" s="10">
        <v>0</v>
      </c>
      <c r="AC147" s="10">
        <f>2630+3672+3684</f>
        <v>9986</v>
      </c>
      <c r="AD147" s="10">
        <v>0</v>
      </c>
      <c r="AE147" s="10">
        <v>3095</v>
      </c>
      <c r="AF147" s="10">
        <v>279</v>
      </c>
      <c r="AG147" s="10">
        <v>0</v>
      </c>
      <c r="AH147" s="10">
        <v>86629</v>
      </c>
      <c r="AI147" s="10">
        <v>89855</v>
      </c>
      <c r="AJ147" s="23">
        <f t="shared" si="14"/>
        <v>0</v>
      </c>
      <c r="AK147" s="10">
        <v>4254</v>
      </c>
      <c r="AL147" s="10">
        <v>1456</v>
      </c>
      <c r="AM147" s="10">
        <v>112724</v>
      </c>
      <c r="AN147" s="10">
        <v>0</v>
      </c>
      <c r="AO147" s="10">
        <v>10108</v>
      </c>
      <c r="AP147" s="10">
        <v>0</v>
      </c>
      <c r="AQ147" s="10">
        <v>0</v>
      </c>
      <c r="AR147" s="10">
        <v>0</v>
      </c>
      <c r="AS147" s="10">
        <v>433</v>
      </c>
      <c r="AT147" s="10">
        <v>282</v>
      </c>
      <c r="AU147" s="10">
        <v>-37</v>
      </c>
      <c r="AV147" s="10">
        <v>-71</v>
      </c>
      <c r="AW147" s="10" t="s">
        <v>1</v>
      </c>
      <c r="AX147" s="10">
        <v>5</v>
      </c>
      <c r="AY147" s="10">
        <f t="shared" si="13"/>
        <v>612</v>
      </c>
      <c r="AZ147" s="1">
        <v>0</v>
      </c>
      <c r="BA147" s="1" t="s">
        <v>406</v>
      </c>
      <c r="BB147" s="1" t="s">
        <v>406</v>
      </c>
      <c r="BC147" s="1" t="s">
        <v>406</v>
      </c>
      <c r="BD147" s="1" t="s">
        <v>406</v>
      </c>
    </row>
    <row r="148" spans="1:56" x14ac:dyDescent="0.25">
      <c r="A148" s="1">
        <v>18</v>
      </c>
      <c r="B148" s="1" t="s">
        <v>269</v>
      </c>
      <c r="C148" s="7" t="s">
        <v>155</v>
      </c>
      <c r="D148" s="1" t="s">
        <v>541</v>
      </c>
      <c r="E148" s="1" t="s">
        <v>617</v>
      </c>
      <c r="F148" s="7" t="s">
        <v>630</v>
      </c>
      <c r="G148" s="7" t="s">
        <v>621</v>
      </c>
      <c r="H148" s="10">
        <v>14434181</v>
      </c>
      <c r="I148" s="10">
        <v>1417520</v>
      </c>
      <c r="J148" s="10">
        <v>7328218</v>
      </c>
      <c r="K148" s="10">
        <v>1637889</v>
      </c>
      <c r="L148" s="10">
        <v>2204906</v>
      </c>
      <c r="M148" s="10">
        <v>767793</v>
      </c>
      <c r="N148" s="10">
        <v>12253</v>
      </c>
      <c r="O148" s="10">
        <v>12747324</v>
      </c>
      <c r="P148" s="23">
        <v>6.2300000000000001E-2</v>
      </c>
      <c r="Q148" s="10">
        <v>0</v>
      </c>
      <c r="R148" s="27">
        <f>(714719)/(12735071)</f>
        <v>5.6122105640400433E-2</v>
      </c>
      <c r="S148" s="10">
        <v>714716</v>
      </c>
      <c r="T148" s="10">
        <v>0</v>
      </c>
      <c r="U148" s="10">
        <f>42814+1226+2473</f>
        <v>46513</v>
      </c>
      <c r="V148" s="10">
        <v>306477</v>
      </c>
      <c r="W148" s="10">
        <v>25360</v>
      </c>
      <c r="X148" s="10">
        <v>57758</v>
      </c>
      <c r="Y148" s="10">
        <v>64356</v>
      </c>
      <c r="Z148" s="10">
        <v>1393</v>
      </c>
      <c r="AA148" s="10">
        <v>30179</v>
      </c>
      <c r="AB148" s="10">
        <v>11052</v>
      </c>
      <c r="AC148" s="10">
        <f>11369+32147+21559</f>
        <v>65075</v>
      </c>
      <c r="AD148" s="10">
        <v>9273</v>
      </c>
      <c r="AE148" s="10">
        <v>1262</v>
      </c>
      <c r="AF148" s="10">
        <v>26001</v>
      </c>
      <c r="AG148" s="10">
        <v>185</v>
      </c>
      <c r="AH148" s="10">
        <v>652381</v>
      </c>
      <c r="AI148" s="10">
        <v>651849</v>
      </c>
      <c r="AJ148" s="23">
        <f t="shared" si="14"/>
        <v>2.8357662163674296E-4</v>
      </c>
      <c r="AK148" s="10">
        <v>88689</v>
      </c>
      <c r="AL148" s="10">
        <v>0</v>
      </c>
      <c r="AM148" s="10">
        <v>126473</v>
      </c>
      <c r="AN148" s="10">
        <v>0</v>
      </c>
      <c r="AO148" s="10">
        <v>83317</v>
      </c>
      <c r="AP148" s="10">
        <v>0</v>
      </c>
      <c r="AQ148" s="10">
        <v>0</v>
      </c>
      <c r="AR148" s="10">
        <v>0</v>
      </c>
      <c r="AS148" s="10">
        <v>1546</v>
      </c>
      <c r="AT148" s="10">
        <v>1166</v>
      </c>
      <c r="AU148" s="10">
        <v>-134</v>
      </c>
      <c r="AV148" s="10">
        <v>-435</v>
      </c>
      <c r="AW148" s="10">
        <v>-240</v>
      </c>
      <c r="AX148" s="10">
        <f>4+10-4+5</f>
        <v>15</v>
      </c>
      <c r="AY148" s="10">
        <f t="shared" si="13"/>
        <v>1918</v>
      </c>
      <c r="AZ148" s="1">
        <v>5</v>
      </c>
      <c r="BA148" s="1">
        <v>174</v>
      </c>
      <c r="BB148" s="1">
        <v>9</v>
      </c>
      <c r="BC148" s="1">
        <v>24</v>
      </c>
      <c r="BD148" s="1">
        <v>33</v>
      </c>
    </row>
    <row r="149" spans="1:56" x14ac:dyDescent="0.25">
      <c r="A149" s="1">
        <v>18</v>
      </c>
      <c r="B149" s="1" t="s">
        <v>313</v>
      </c>
      <c r="C149" s="7" t="s">
        <v>296</v>
      </c>
      <c r="D149" s="1" t="s">
        <v>75</v>
      </c>
      <c r="E149" s="1" t="s">
        <v>274</v>
      </c>
      <c r="F149" s="7"/>
      <c r="G149" s="7" t="s">
        <v>275</v>
      </c>
      <c r="H149" s="10">
        <v>2420334</v>
      </c>
      <c r="I149" s="10">
        <v>96967</v>
      </c>
      <c r="J149" s="10">
        <v>945655</v>
      </c>
      <c r="K149" s="10">
        <v>299372</v>
      </c>
      <c r="L149" s="10">
        <v>511537</v>
      </c>
      <c r="M149" s="10">
        <v>208278</v>
      </c>
      <c r="N149" s="10">
        <v>2074</v>
      </c>
      <c r="O149" s="10">
        <v>2185999</v>
      </c>
      <c r="P149" s="23">
        <v>0.11</v>
      </c>
      <c r="Q149" s="10">
        <v>0</v>
      </c>
      <c r="R149" s="27">
        <f>218393/2183925</f>
        <v>0.10000022894559107</v>
      </c>
      <c r="S149" s="10">
        <v>218402</v>
      </c>
      <c r="T149" s="10">
        <v>0</v>
      </c>
      <c r="U149" s="10">
        <f>4348+102</f>
        <v>4450</v>
      </c>
      <c r="V149" s="10">
        <v>54115</v>
      </c>
      <c r="W149" s="10">
        <v>5603</v>
      </c>
      <c r="X149" s="10">
        <v>3351</v>
      </c>
      <c r="Y149" s="10">
        <f>7709+991</f>
        <v>8700</v>
      </c>
      <c r="Z149" s="10">
        <v>0</v>
      </c>
      <c r="AA149" s="10">
        <v>9890</v>
      </c>
      <c r="AB149" s="10">
        <v>4854</v>
      </c>
      <c r="AC149" s="10">
        <f>1571+2614+2349</f>
        <v>6534</v>
      </c>
      <c r="AD149" s="10">
        <v>1108</v>
      </c>
      <c r="AE149" s="10">
        <v>6500</v>
      </c>
      <c r="AF149" s="10">
        <v>4831</v>
      </c>
      <c r="AG149" s="10">
        <v>7709</v>
      </c>
      <c r="AH149" s="10">
        <v>113902</v>
      </c>
      <c r="AI149" s="10">
        <v>118841</v>
      </c>
      <c r="AJ149" s="23">
        <f t="shared" si="14"/>
        <v>6.7680988920299903E-2</v>
      </c>
      <c r="AK149" s="10">
        <v>13475</v>
      </c>
      <c r="AL149" s="10">
        <v>0</v>
      </c>
      <c r="AM149" s="10">
        <v>111702</v>
      </c>
      <c r="AN149" s="10">
        <v>0</v>
      </c>
      <c r="AO149" s="10">
        <v>12797</v>
      </c>
      <c r="AP149" s="10">
        <v>0</v>
      </c>
      <c r="AQ149" s="10">
        <v>0</v>
      </c>
      <c r="AR149" s="10">
        <v>0</v>
      </c>
      <c r="AS149" s="10">
        <v>597</v>
      </c>
      <c r="AT149" s="10">
        <v>474</v>
      </c>
      <c r="AU149" s="10">
        <v>-75</v>
      </c>
      <c r="AV149" s="10">
        <v>-144</v>
      </c>
      <c r="AW149" s="10">
        <v>-96</v>
      </c>
      <c r="AX149" s="10">
        <v>10</v>
      </c>
      <c r="AY149" s="10">
        <f t="shared" si="13"/>
        <v>766</v>
      </c>
      <c r="AZ149" s="1">
        <v>5</v>
      </c>
      <c r="BA149" s="1" t="s">
        <v>406</v>
      </c>
      <c r="BB149" s="1" t="s">
        <v>406</v>
      </c>
      <c r="BC149" s="1" t="s">
        <v>406</v>
      </c>
      <c r="BD149" s="1" t="s">
        <v>406</v>
      </c>
    </row>
    <row r="150" spans="1:56" x14ac:dyDescent="0.25">
      <c r="A150" s="1">
        <v>18</v>
      </c>
      <c r="B150" s="1" t="s">
        <v>338</v>
      </c>
      <c r="C150" s="7" t="s">
        <v>222</v>
      </c>
      <c r="D150" s="1" t="s">
        <v>202</v>
      </c>
      <c r="E150" s="1" t="s">
        <v>449</v>
      </c>
      <c r="F150" s="7"/>
      <c r="G150" s="7" t="s">
        <v>450</v>
      </c>
      <c r="H150" s="10">
        <v>11107851</v>
      </c>
      <c r="I150" s="10">
        <v>515172</v>
      </c>
      <c r="J150" s="10">
        <v>4164082</v>
      </c>
      <c r="K150" s="10">
        <v>2289413</v>
      </c>
      <c r="L150" s="10">
        <v>1919361</v>
      </c>
      <c r="M150" s="10">
        <v>1212803</v>
      </c>
      <c r="N150" s="10">
        <v>0</v>
      </c>
      <c r="O150" s="10">
        <v>10395479</v>
      </c>
      <c r="P150" s="23">
        <v>0.1321</v>
      </c>
      <c r="Q150" s="10">
        <f>12232+633</f>
        <v>12865</v>
      </c>
      <c r="R150" s="27">
        <f>(809844)/(10382614)</f>
        <v>7.800001040200473E-2</v>
      </c>
      <c r="S150" s="10">
        <v>809287</v>
      </c>
      <c r="T150" s="10">
        <v>0</v>
      </c>
      <c r="U150" s="10">
        <f>13705+1060+1449</f>
        <v>16214</v>
      </c>
      <c r="V150" s="10">
        <v>354815</v>
      </c>
      <c r="W150" s="10">
        <v>35790</v>
      </c>
      <c r="X150" s="10">
        <v>77591</v>
      </c>
      <c r="Y150" s="10">
        <v>40435</v>
      </c>
      <c r="Z150" s="10">
        <v>143</v>
      </c>
      <c r="AA150" s="10">
        <v>43000</v>
      </c>
      <c r="AB150" s="10">
        <v>3600</v>
      </c>
      <c r="AC150" s="10">
        <f>10392+15075+16947</f>
        <v>42414</v>
      </c>
      <c r="AD150" s="10">
        <v>10803</v>
      </c>
      <c r="AE150" s="10">
        <v>432</v>
      </c>
      <c r="AF150" s="10">
        <v>18334</v>
      </c>
      <c r="AG150" s="10">
        <v>0</v>
      </c>
      <c r="AH150" s="10">
        <v>661156</v>
      </c>
      <c r="AI150" s="10">
        <v>665000</v>
      </c>
      <c r="AJ150" s="23">
        <f t="shared" si="14"/>
        <v>0</v>
      </c>
      <c r="AK150" s="10">
        <v>66578</v>
      </c>
      <c r="AL150" s="10">
        <v>0</v>
      </c>
      <c r="AM150" s="10">
        <v>126473</v>
      </c>
      <c r="AN150" s="10">
        <v>0</v>
      </c>
      <c r="AO150" s="10">
        <v>104450</v>
      </c>
      <c r="AP150" s="10">
        <v>0</v>
      </c>
      <c r="AQ150" s="10">
        <v>0</v>
      </c>
      <c r="AR150" s="10">
        <v>0</v>
      </c>
      <c r="AS150" s="10">
        <v>3103</v>
      </c>
      <c r="AT150" s="10">
        <v>1498</v>
      </c>
      <c r="AU150" s="10">
        <v>-184</v>
      </c>
      <c r="AV150" s="10">
        <v>-638</v>
      </c>
      <c r="AW150" s="10">
        <v>-637</v>
      </c>
      <c r="AX150" s="10">
        <f>1+55-1</f>
        <v>55</v>
      </c>
      <c r="AY150" s="10">
        <f t="shared" si="13"/>
        <v>3197</v>
      </c>
      <c r="AZ150" s="1">
        <v>0</v>
      </c>
      <c r="BA150" s="1" t="s">
        <v>406</v>
      </c>
      <c r="BB150" s="1" t="s">
        <v>406</v>
      </c>
      <c r="BC150" s="1" t="s">
        <v>406</v>
      </c>
      <c r="BD150" s="1" t="s">
        <v>406</v>
      </c>
    </row>
    <row r="151" spans="1:56" x14ac:dyDescent="0.25">
      <c r="A151" s="1">
        <v>18</v>
      </c>
      <c r="B151" s="1" t="s">
        <v>402</v>
      </c>
      <c r="C151" s="1"/>
      <c r="D151" s="1" t="s">
        <v>472</v>
      </c>
      <c r="E151" s="1" t="s">
        <v>449</v>
      </c>
      <c r="F151" s="7"/>
      <c r="G151" s="7" t="s">
        <v>450</v>
      </c>
      <c r="H151" s="10">
        <v>22576636</v>
      </c>
      <c r="I151" s="10">
        <v>1610608</v>
      </c>
      <c r="J151" s="10">
        <v>6845760</v>
      </c>
      <c r="K151" s="10">
        <v>5036278</v>
      </c>
      <c r="L151" s="10">
        <v>3696486</v>
      </c>
      <c r="M151" s="10">
        <v>2100431</v>
      </c>
      <c r="N151" s="10">
        <v>0</v>
      </c>
      <c r="O151" s="10">
        <v>19266361</v>
      </c>
      <c r="P151" s="23">
        <v>0.14000000000000001</v>
      </c>
      <c r="Q151" s="10">
        <v>0</v>
      </c>
      <c r="R151" s="27">
        <f>1590693/19276580</f>
        <v>8.2519461439736722E-2</v>
      </c>
      <c r="S151" s="10">
        <v>1585712</v>
      </c>
      <c r="T151" s="10">
        <v>0</v>
      </c>
      <c r="U151" s="10">
        <f>135974+13627+4714</f>
        <v>154315</v>
      </c>
      <c r="V151" s="10">
        <v>852756</v>
      </c>
      <c r="W151" s="10">
        <v>69636</v>
      </c>
      <c r="X151" s="10">
        <v>220379</v>
      </c>
      <c r="Y151" s="10">
        <v>150463</v>
      </c>
      <c r="Z151" s="10">
        <v>7079</v>
      </c>
      <c r="AA151" s="10">
        <v>3637</v>
      </c>
      <c r="AB151" s="10">
        <v>61072</v>
      </c>
      <c r="AC151" s="10">
        <f>19045+33272+34922</f>
        <v>87239</v>
      </c>
      <c r="AD151" s="10">
        <v>15389</v>
      </c>
      <c r="AE151" s="10">
        <v>0</v>
      </c>
      <c r="AF151" s="10">
        <v>23401</v>
      </c>
      <c r="AG151" s="10">
        <v>0</v>
      </c>
      <c r="AH151" s="10">
        <v>1582272</v>
      </c>
      <c r="AI151" s="10">
        <v>1534933</v>
      </c>
      <c r="AJ151" s="23">
        <f t="shared" si="14"/>
        <v>0</v>
      </c>
      <c r="AK151" s="10">
        <v>183311</v>
      </c>
      <c r="AL151" s="10">
        <v>3319</v>
      </c>
      <c r="AM151" s="10">
        <v>126473</v>
      </c>
      <c r="AN151" s="10">
        <v>0</v>
      </c>
      <c r="AO151" s="10">
        <v>223692</v>
      </c>
      <c r="AP151" s="10">
        <v>0</v>
      </c>
      <c r="AQ151" s="10">
        <v>0</v>
      </c>
      <c r="AR151" s="10">
        <v>0</v>
      </c>
      <c r="AS151" s="10">
        <v>6694</v>
      </c>
      <c r="AT151" s="10">
        <v>2129</v>
      </c>
      <c r="AU151" s="10">
        <v>-334</v>
      </c>
      <c r="AV151" s="10">
        <v>-1511</v>
      </c>
      <c r="AW151" s="10">
        <v>-1143</v>
      </c>
      <c r="AX151" s="10">
        <v>-2</v>
      </c>
      <c r="AY151" s="10">
        <f t="shared" si="13"/>
        <v>5833</v>
      </c>
      <c r="AZ151" s="1">
        <v>323</v>
      </c>
      <c r="BA151" s="1" t="s">
        <v>406</v>
      </c>
      <c r="BB151" s="1" t="s">
        <v>406</v>
      </c>
      <c r="BC151" s="1" t="s">
        <v>406</v>
      </c>
      <c r="BD151" s="1" t="s">
        <v>406</v>
      </c>
    </row>
    <row r="152" spans="1:56" x14ac:dyDescent="0.25">
      <c r="A152" s="1">
        <v>18</v>
      </c>
      <c r="B152" s="1" t="s">
        <v>465</v>
      </c>
      <c r="C152" s="7" t="s">
        <v>615</v>
      </c>
      <c r="D152" s="1" t="s">
        <v>339</v>
      </c>
      <c r="E152" s="1" t="s">
        <v>617</v>
      </c>
      <c r="F152" s="7" t="s">
        <v>631</v>
      </c>
      <c r="G152" s="7" t="s">
        <v>621</v>
      </c>
      <c r="H152" s="10">
        <v>7984021</v>
      </c>
      <c r="I152" s="10">
        <v>939341</v>
      </c>
      <c r="J152" s="10">
        <v>3575050</v>
      </c>
      <c r="K152" s="10">
        <v>755064</v>
      </c>
      <c r="L152" s="10">
        <v>1355912</v>
      </c>
      <c r="M152" s="10">
        <v>611661</v>
      </c>
      <c r="N152" s="10">
        <v>4233</v>
      </c>
      <c r="O152" s="10">
        <v>6965770</v>
      </c>
      <c r="P152" s="23">
        <v>7.0000000000000007E-2</v>
      </c>
      <c r="Q152" s="10">
        <v>0</v>
      </c>
      <c r="R152" s="27">
        <f>609084/6961537</f>
        <v>8.749274765041111E-2</v>
      </c>
      <c r="S152" s="10">
        <v>610201</v>
      </c>
      <c r="T152" s="10">
        <v>0</v>
      </c>
      <c r="U152" s="10">
        <f>19477+797+851</f>
        <v>21125</v>
      </c>
      <c r="V152" s="10">
        <v>272020</v>
      </c>
      <c r="W152" s="10">
        <v>22777</v>
      </c>
      <c r="X152" s="10">
        <v>25743</v>
      </c>
      <c r="Y152" s="10">
        <f>29220+2513</f>
        <v>31733</v>
      </c>
      <c r="Z152" s="10">
        <v>0</v>
      </c>
      <c r="AA152" s="10">
        <v>21817</v>
      </c>
      <c r="AB152" s="10">
        <v>15906</v>
      </c>
      <c r="AC152" s="10">
        <f>13301+22865+21423</f>
        <v>57589</v>
      </c>
      <c r="AD152" s="10">
        <v>3277</v>
      </c>
      <c r="AE152" s="10">
        <v>0</v>
      </c>
      <c r="AF152" s="10">
        <v>10100</v>
      </c>
      <c r="AG152" s="10"/>
      <c r="AH152" s="10">
        <v>499371</v>
      </c>
      <c r="AI152" s="10"/>
      <c r="AJ152" s="23">
        <f t="shared" si="14"/>
        <v>0</v>
      </c>
      <c r="AK152" s="10">
        <v>63140</v>
      </c>
      <c r="AL152" s="10">
        <v>120</v>
      </c>
      <c r="AM152" s="10">
        <v>126473</v>
      </c>
      <c r="AN152" s="10">
        <v>0</v>
      </c>
      <c r="AO152" s="10">
        <v>86286</v>
      </c>
      <c r="AP152" s="10">
        <v>1393</v>
      </c>
      <c r="AQ152" s="10">
        <v>1393</v>
      </c>
      <c r="AR152" s="10">
        <v>0</v>
      </c>
      <c r="AS152" s="10">
        <v>1696</v>
      </c>
      <c r="AT152" s="10">
        <v>720</v>
      </c>
      <c r="AU152" s="10">
        <v>-93</v>
      </c>
      <c r="AV152" s="10">
        <v>-320</v>
      </c>
      <c r="AW152" s="10">
        <v>-176</v>
      </c>
      <c r="AX152" s="10">
        <f>1+12</f>
        <v>13</v>
      </c>
      <c r="AY152" s="10">
        <f t="shared" si="13"/>
        <v>1840</v>
      </c>
      <c r="AZ152" s="1">
        <v>11</v>
      </c>
      <c r="BA152" s="1">
        <v>87</v>
      </c>
      <c r="BB152" s="1">
        <v>6</v>
      </c>
      <c r="BC152" s="1">
        <v>7</v>
      </c>
      <c r="BD152" s="1">
        <v>38</v>
      </c>
    </row>
    <row r="153" spans="1:56" x14ac:dyDescent="0.25">
      <c r="A153" s="1">
        <v>18</v>
      </c>
      <c r="B153" s="1" t="s">
        <v>482</v>
      </c>
      <c r="C153" s="7" t="s">
        <v>72</v>
      </c>
      <c r="D153" s="1" t="s">
        <v>75</v>
      </c>
      <c r="E153" s="1" t="s">
        <v>274</v>
      </c>
      <c r="F153" s="7"/>
      <c r="G153" s="7" t="s">
        <v>275</v>
      </c>
      <c r="H153" s="10">
        <v>2263821</v>
      </c>
      <c r="I153" s="10">
        <v>68795</v>
      </c>
      <c r="J153" s="10">
        <v>1056291</v>
      </c>
      <c r="K153" s="10">
        <v>284202</v>
      </c>
      <c r="L153" s="10">
        <v>352814</v>
      </c>
      <c r="M153" s="10">
        <v>202278</v>
      </c>
      <c r="N153" s="10">
        <v>1118</v>
      </c>
      <c r="O153" s="10">
        <v>2109298</v>
      </c>
      <c r="P153" s="23">
        <v>0.122</v>
      </c>
      <c r="Q153" s="10">
        <v>0</v>
      </c>
      <c r="R153" s="27">
        <f>209302/2093017</f>
        <v>0.10000014333376174</v>
      </c>
      <c r="S153" s="10">
        <v>208948</v>
      </c>
      <c r="T153" s="10">
        <v>0</v>
      </c>
      <c r="U153" s="10">
        <f>8211+76+541</f>
        <v>8828</v>
      </c>
      <c r="V153" s="10">
        <v>90028</v>
      </c>
      <c r="W153" s="10">
        <v>10732</v>
      </c>
      <c r="X153" s="10">
        <v>8162</v>
      </c>
      <c r="Y153" s="10">
        <v>10560</v>
      </c>
      <c r="Z153" s="10">
        <v>8925</v>
      </c>
      <c r="AA153" s="10">
        <v>2856</v>
      </c>
      <c r="AB153" s="10">
        <v>0</v>
      </c>
      <c r="AC153" s="10">
        <f>831+3600+3715</f>
        <v>8146</v>
      </c>
      <c r="AD153" s="10">
        <v>0</v>
      </c>
      <c r="AE153" s="10">
        <v>600</v>
      </c>
      <c r="AF153" s="10">
        <v>0</v>
      </c>
      <c r="AG153" s="10">
        <v>64805</v>
      </c>
      <c r="AH153" s="10">
        <v>145429</v>
      </c>
      <c r="AI153" s="10">
        <v>154361</v>
      </c>
      <c r="AJ153" s="23">
        <f t="shared" si="14"/>
        <v>0.44561263571914816</v>
      </c>
      <c r="AK153" s="10">
        <v>306</v>
      </c>
      <c r="AL153" s="10">
        <v>0</v>
      </c>
      <c r="AM153" s="10">
        <v>75000</v>
      </c>
      <c r="AN153" s="10">
        <v>0</v>
      </c>
      <c r="AO153" s="10">
        <v>100</v>
      </c>
      <c r="AP153" s="10">
        <v>0</v>
      </c>
      <c r="AQ153" s="10">
        <v>0</v>
      </c>
      <c r="AR153" s="10">
        <v>0</v>
      </c>
      <c r="AS153" s="10">
        <v>722</v>
      </c>
      <c r="AT153" s="10">
        <v>367</v>
      </c>
      <c r="AU153" s="10">
        <v>-77</v>
      </c>
      <c r="AV153" s="10">
        <v>-158</v>
      </c>
      <c r="AW153" s="10">
        <v>-88</v>
      </c>
      <c r="AX153" s="10">
        <f>462-367</f>
        <v>95</v>
      </c>
      <c r="AY153" s="10">
        <f t="shared" si="13"/>
        <v>861</v>
      </c>
      <c r="AZ153" s="1">
        <v>1</v>
      </c>
      <c r="BA153" s="1">
        <v>2</v>
      </c>
      <c r="BB153" s="1">
        <v>24</v>
      </c>
      <c r="BC153" s="1">
        <v>60</v>
      </c>
      <c r="BD153" s="1">
        <v>2</v>
      </c>
    </row>
    <row r="154" spans="1:56" x14ac:dyDescent="0.25">
      <c r="A154" s="1">
        <v>18</v>
      </c>
      <c r="B154" s="1" t="s">
        <v>504</v>
      </c>
      <c r="C154" s="7" t="s">
        <v>506</v>
      </c>
      <c r="D154" s="1" t="s">
        <v>461</v>
      </c>
      <c r="E154" s="1" t="s">
        <v>449</v>
      </c>
      <c r="F154" s="7"/>
      <c r="G154" s="7" t="s">
        <v>450</v>
      </c>
      <c r="H154" s="10">
        <v>358825</v>
      </c>
      <c r="I154" s="10">
        <v>6977</v>
      </c>
      <c r="J154" s="10">
        <v>126072</v>
      </c>
      <c r="K154" s="10">
        <v>97574</v>
      </c>
      <c r="L154" s="10">
        <v>97361</v>
      </c>
      <c r="M154" s="10">
        <v>19629</v>
      </c>
      <c r="N154" s="10">
        <v>0</v>
      </c>
      <c r="O154" s="10">
        <v>377232</v>
      </c>
      <c r="P154" s="23">
        <v>0.158</v>
      </c>
      <c r="Q154" s="10">
        <v>11080</v>
      </c>
      <c r="R154" s="27">
        <v>0.1</v>
      </c>
      <c r="S154" s="10">
        <v>36574</v>
      </c>
      <c r="T154" s="10">
        <v>0</v>
      </c>
      <c r="U154" s="10">
        <f>658+50</f>
        <v>708</v>
      </c>
      <c r="V154" s="10">
        <v>6230</v>
      </c>
      <c r="W154" s="10">
        <v>0</v>
      </c>
      <c r="X154" s="10">
        <v>0</v>
      </c>
      <c r="Y154" s="10">
        <f>850+145</f>
        <v>995</v>
      </c>
      <c r="Z154" s="10">
        <v>0</v>
      </c>
      <c r="AA154" s="10">
        <v>0</v>
      </c>
      <c r="AB154" s="10">
        <v>0</v>
      </c>
      <c r="AC154" s="10">
        <f>716+608+396</f>
        <v>1720</v>
      </c>
      <c r="AD154" s="10">
        <v>1149</v>
      </c>
      <c r="AE154" s="10">
        <v>776</v>
      </c>
      <c r="AF154" s="10">
        <v>1304</v>
      </c>
      <c r="AG154" s="10">
        <v>13592</v>
      </c>
      <c r="AH154" s="10">
        <v>13749</v>
      </c>
      <c r="AI154" s="10">
        <v>22132</v>
      </c>
      <c r="AJ154" s="23">
        <f t="shared" si="14"/>
        <v>0.98858098770819691</v>
      </c>
      <c r="AK154" s="10">
        <v>748</v>
      </c>
      <c r="AL154" s="10">
        <v>0</v>
      </c>
      <c r="AM154" s="10">
        <v>17592</v>
      </c>
      <c r="AN154" s="10">
        <v>0</v>
      </c>
      <c r="AO154" s="10">
        <v>6689</v>
      </c>
      <c r="AP154" s="10">
        <v>4352</v>
      </c>
      <c r="AQ154" s="10">
        <v>0</v>
      </c>
      <c r="AR154" s="10">
        <v>0</v>
      </c>
      <c r="AS154" s="10">
        <v>76</v>
      </c>
      <c r="AT154" s="10">
        <v>32</v>
      </c>
      <c r="AU154" s="10">
        <v>-2</v>
      </c>
      <c r="AV154" s="10">
        <v>-20</v>
      </c>
      <c r="AW154" s="10">
        <v>-16</v>
      </c>
      <c r="AX154" s="10">
        <v>0</v>
      </c>
      <c r="AY154" s="10">
        <f t="shared" si="13"/>
        <v>70</v>
      </c>
      <c r="AZ154" s="1">
        <v>0</v>
      </c>
      <c r="BA154" s="1" t="s">
        <v>406</v>
      </c>
      <c r="BB154" s="1" t="s">
        <v>406</v>
      </c>
      <c r="BC154" s="1" t="s">
        <v>406</v>
      </c>
      <c r="BD154" s="1" t="s">
        <v>406</v>
      </c>
    </row>
    <row r="155" spans="1:56" x14ac:dyDescent="0.25">
      <c r="A155" s="1">
        <v>18</v>
      </c>
      <c r="B155" s="1" t="s">
        <v>534</v>
      </c>
      <c r="C155" s="7" t="s">
        <v>259</v>
      </c>
      <c r="D155" s="1" t="s">
        <v>541</v>
      </c>
      <c r="E155" s="1" t="s">
        <v>617</v>
      </c>
      <c r="F155" s="7" t="s">
        <v>630</v>
      </c>
      <c r="G155" s="7" t="s">
        <v>621</v>
      </c>
      <c r="H155" s="10">
        <v>42063850</v>
      </c>
      <c r="I155" s="10">
        <v>2507361</v>
      </c>
      <c r="J155" s="10">
        <v>20848275</v>
      </c>
      <c r="K155" s="10">
        <v>3202210</v>
      </c>
      <c r="L155" s="10">
        <v>10096497</v>
      </c>
      <c r="M155" s="10">
        <v>1733986</v>
      </c>
      <c r="N155" s="10">
        <v>28340</v>
      </c>
      <c r="O155" s="10">
        <v>38388392</v>
      </c>
      <c r="P155" s="23">
        <v>8.6699999999999999E-2</v>
      </c>
      <c r="Q155" s="10">
        <v>2291040</v>
      </c>
      <c r="R155" s="27">
        <f>(2300665)/(36069012)</f>
        <v>6.3785085102968722E-2</v>
      </c>
      <c r="S155" s="10">
        <v>2291040</v>
      </c>
      <c r="T155" s="10">
        <v>0</v>
      </c>
      <c r="U155" s="10">
        <f>122537+3492</f>
        <v>126029</v>
      </c>
      <c r="V155" s="10">
        <v>1209026</v>
      </c>
      <c r="W155" s="10">
        <v>104089</v>
      </c>
      <c r="X155" s="10">
        <v>273231</v>
      </c>
      <c r="Y155" s="10">
        <f>194947+1174</f>
        <v>196121</v>
      </c>
      <c r="Z155" s="10">
        <v>0</v>
      </c>
      <c r="AA155" s="10">
        <v>19230</v>
      </c>
      <c r="AB155" s="10">
        <v>68258</v>
      </c>
      <c r="AC155" s="10">
        <f>23034+102230+63832</f>
        <v>189096</v>
      </c>
      <c r="AD155" s="10">
        <v>10539</v>
      </c>
      <c r="AE155" s="10">
        <v>977</v>
      </c>
      <c r="AF155" s="10">
        <v>73744</v>
      </c>
      <c r="AG155" s="10">
        <v>0</v>
      </c>
      <c r="AH155" s="10">
        <v>2323236</v>
      </c>
      <c r="AI155" s="10">
        <v>2368744</v>
      </c>
      <c r="AJ155" s="23">
        <f t="shared" si="14"/>
        <v>0</v>
      </c>
      <c r="AK155" s="10">
        <v>328407</v>
      </c>
      <c r="AL155" s="10">
        <v>0</v>
      </c>
      <c r="AM155" s="10">
        <v>126473</v>
      </c>
      <c r="AN155" s="10">
        <v>0</v>
      </c>
      <c r="AO155" s="10">
        <v>324108</v>
      </c>
      <c r="AP155" s="10">
        <v>0</v>
      </c>
      <c r="AQ155" s="10">
        <v>0</v>
      </c>
      <c r="AR155" s="10">
        <v>0</v>
      </c>
      <c r="AS155" s="10">
        <v>5632</v>
      </c>
      <c r="AT155" s="10">
        <v>3085</v>
      </c>
      <c r="AU155" s="10">
        <v>-392</v>
      </c>
      <c r="AV155" s="10">
        <v>-1318</v>
      </c>
      <c r="AW155" s="10">
        <v>-1009</v>
      </c>
      <c r="AX155" s="10">
        <f>1+61-5</f>
        <v>57</v>
      </c>
      <c r="AY155" s="10">
        <f t="shared" si="13"/>
        <v>6055</v>
      </c>
      <c r="AZ155" s="1">
        <v>32</v>
      </c>
      <c r="BA155" s="1">
        <v>552</v>
      </c>
      <c r="BB155" s="1">
        <v>41</v>
      </c>
      <c r="BC155" s="1">
        <v>178</v>
      </c>
      <c r="BD155" s="1">
        <v>238</v>
      </c>
    </row>
    <row r="156" spans="1:56" x14ac:dyDescent="0.25">
      <c r="A156" s="1">
        <v>18</v>
      </c>
      <c r="B156" s="1" t="s">
        <v>564</v>
      </c>
      <c r="C156" s="7" t="s">
        <v>316</v>
      </c>
      <c r="D156" s="1" t="s">
        <v>129</v>
      </c>
      <c r="E156" s="1" t="s">
        <v>274</v>
      </c>
      <c r="F156" s="7"/>
      <c r="G156" s="7" t="s">
        <v>275</v>
      </c>
      <c r="H156" s="10">
        <v>1485752</v>
      </c>
      <c r="I156" s="10">
        <v>52060</v>
      </c>
      <c r="J156" s="10">
        <v>605249</v>
      </c>
      <c r="K156" s="10">
        <v>297774</v>
      </c>
      <c r="L156" s="10">
        <v>443247</v>
      </c>
      <c r="M156" s="10">
        <v>16847</v>
      </c>
      <c r="N156" s="10">
        <v>0</v>
      </c>
      <c r="O156" s="10">
        <v>1524370</v>
      </c>
      <c r="P156" s="23">
        <v>3.4431049999999998E-2</v>
      </c>
      <c r="Q156" s="10">
        <v>0</v>
      </c>
      <c r="R156" s="27">
        <f>152428/1524249</f>
        <v>0.1000020337884427</v>
      </c>
      <c r="S156" s="10">
        <v>152668</v>
      </c>
      <c r="T156" s="10">
        <v>0</v>
      </c>
      <c r="U156" s="10">
        <f>8559+175</f>
        <v>8734</v>
      </c>
      <c r="V156" s="10">
        <v>60027</v>
      </c>
      <c r="W156" s="10">
        <v>4710</v>
      </c>
      <c r="X156" s="10">
        <v>4903</v>
      </c>
      <c r="Y156" s="10">
        <f>7600+1205</f>
        <v>8805</v>
      </c>
      <c r="Z156" s="10">
        <v>0</v>
      </c>
      <c r="AA156" s="10">
        <v>4554</v>
      </c>
      <c r="AB156" s="10">
        <v>80</v>
      </c>
      <c r="AC156" s="10">
        <f>2107+2060+494</f>
        <v>4661</v>
      </c>
      <c r="AD156" s="10">
        <v>1305</v>
      </c>
      <c r="AE156" s="10">
        <v>0</v>
      </c>
      <c r="AF156" s="10">
        <v>583</v>
      </c>
      <c r="AG156" s="10">
        <v>65388</v>
      </c>
      <c r="AH156" s="10">
        <v>97151</v>
      </c>
      <c r="AI156" s="10">
        <v>97975</v>
      </c>
      <c r="AJ156" s="23">
        <f t="shared" si="14"/>
        <v>0.67305534683122148</v>
      </c>
      <c r="AK156" s="10">
        <v>4811</v>
      </c>
      <c r="AL156" s="10">
        <v>0</v>
      </c>
      <c r="AM156" s="10">
        <v>69183</v>
      </c>
      <c r="AN156" s="10">
        <v>0</v>
      </c>
      <c r="AO156" s="10">
        <v>0</v>
      </c>
      <c r="AP156" s="10">
        <v>0</v>
      </c>
      <c r="AQ156" s="10">
        <v>0</v>
      </c>
      <c r="AR156" s="10">
        <v>0</v>
      </c>
      <c r="AS156" s="10">
        <v>410</v>
      </c>
      <c r="AT156" s="10">
        <v>0</v>
      </c>
      <c r="AU156" s="10">
        <v>-16</v>
      </c>
      <c r="AV156" s="10">
        <v>-26</v>
      </c>
      <c r="AW156" s="10">
        <v>-125</v>
      </c>
      <c r="AX156" s="10">
        <v>0</v>
      </c>
      <c r="AY156" s="10">
        <f t="shared" si="13"/>
        <v>243</v>
      </c>
      <c r="AZ156" s="1">
        <v>1</v>
      </c>
      <c r="BA156" s="1" t="s">
        <v>406</v>
      </c>
      <c r="BB156" s="1" t="s">
        <v>406</v>
      </c>
      <c r="BC156" s="1" t="s">
        <v>406</v>
      </c>
      <c r="BD156" s="1" t="s">
        <v>406</v>
      </c>
    </row>
    <row r="157" spans="1:56" x14ac:dyDescent="0.25">
      <c r="A157" s="1">
        <v>18</v>
      </c>
      <c r="B157" s="1" t="s">
        <v>654</v>
      </c>
      <c r="C157" s="7" t="s">
        <v>99</v>
      </c>
      <c r="D157" s="1" t="s">
        <v>373</v>
      </c>
      <c r="E157" s="1" t="s">
        <v>274</v>
      </c>
      <c r="F157" s="7"/>
      <c r="G157" s="7" t="s">
        <v>275</v>
      </c>
      <c r="H157" s="10">
        <v>2086906</v>
      </c>
      <c r="I157" s="10">
        <v>66495</v>
      </c>
      <c r="J157" s="10">
        <v>871101</v>
      </c>
      <c r="K157" s="10">
        <v>279019</v>
      </c>
      <c r="L157" s="10">
        <v>442378</v>
      </c>
      <c r="M157" s="10">
        <v>154334</v>
      </c>
      <c r="N157" s="10">
        <v>0</v>
      </c>
      <c r="O157" s="10">
        <v>1944481</v>
      </c>
      <c r="P157" s="23">
        <v>0.1</v>
      </c>
      <c r="Q157" s="10">
        <v>0</v>
      </c>
      <c r="R157" s="27">
        <f>194131/1941309</f>
        <v>0.10000005151163467</v>
      </c>
      <c r="S157" s="10">
        <v>194122</v>
      </c>
      <c r="T157" s="10">
        <v>0</v>
      </c>
      <c r="U157" s="10">
        <f>3369+99</f>
        <v>3468</v>
      </c>
      <c r="V157" s="10">
        <v>64500</v>
      </c>
      <c r="W157" s="10">
        <v>5698</v>
      </c>
      <c r="X157" s="10">
        <v>3225</v>
      </c>
      <c r="Y157" s="10">
        <v>8900</v>
      </c>
      <c r="Z157" s="10">
        <v>400</v>
      </c>
      <c r="AA157" s="10">
        <v>8002</v>
      </c>
      <c r="AB157" s="10">
        <v>0</v>
      </c>
      <c r="AC157" s="10">
        <f>6224+3544+4768</f>
        <v>14536</v>
      </c>
      <c r="AD157" s="10">
        <v>1735</v>
      </c>
      <c r="AE157" s="10">
        <v>3875</v>
      </c>
      <c r="AF157" s="10">
        <v>0</v>
      </c>
      <c r="AG157" s="10">
        <v>52005</v>
      </c>
      <c r="AH157" s="10">
        <v>118366</v>
      </c>
      <c r="AI157" s="10">
        <v>117778</v>
      </c>
      <c r="AJ157" s="23">
        <f t="shared" si="14"/>
        <v>0.43935758579321765</v>
      </c>
      <c r="AK157" s="10">
        <v>591</v>
      </c>
      <c r="AL157" s="10">
        <v>0</v>
      </c>
      <c r="AM157" s="10">
        <v>82738</v>
      </c>
      <c r="AN157" s="10">
        <v>0</v>
      </c>
      <c r="AO157" s="10">
        <v>0</v>
      </c>
      <c r="AP157" s="10">
        <v>0</v>
      </c>
      <c r="AQ157" s="10">
        <v>0</v>
      </c>
      <c r="AR157" s="10">
        <v>0</v>
      </c>
      <c r="AS157" s="10">
        <v>590</v>
      </c>
      <c r="AT157" s="10">
        <v>259</v>
      </c>
      <c r="AU157" s="10">
        <v>-49</v>
      </c>
      <c r="AV157" s="10">
        <v>-83</v>
      </c>
      <c r="AW157" s="10">
        <v>-87</v>
      </c>
      <c r="AX157" s="10">
        <v>2</v>
      </c>
      <c r="AY157" s="10">
        <f t="shared" si="13"/>
        <v>632</v>
      </c>
      <c r="AZ157" s="1">
        <v>0</v>
      </c>
      <c r="BA157" s="1" t="s">
        <v>406</v>
      </c>
      <c r="BB157" s="1" t="s">
        <v>406</v>
      </c>
      <c r="BC157" s="1" t="s">
        <v>406</v>
      </c>
      <c r="BD157" s="1" t="s">
        <v>406</v>
      </c>
    </row>
    <row r="158" spans="1:56" x14ac:dyDescent="0.25">
      <c r="A158" s="1">
        <v>19</v>
      </c>
      <c r="B158" s="1" t="s">
        <v>173</v>
      </c>
      <c r="C158" s="7" t="s">
        <v>39</v>
      </c>
      <c r="D158" s="1" t="s">
        <v>524</v>
      </c>
      <c r="E158" s="1" t="s">
        <v>609</v>
      </c>
      <c r="F158" s="7"/>
      <c r="G158" s="7" t="s">
        <v>610</v>
      </c>
      <c r="H158" s="10">
        <v>22270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23">
        <v>0.01</v>
      </c>
      <c r="Q158" s="10">
        <v>0</v>
      </c>
      <c r="R158" s="27">
        <v>0</v>
      </c>
      <c r="S158" s="10">
        <v>0</v>
      </c>
      <c r="T158" s="10">
        <v>0</v>
      </c>
      <c r="U158" s="10">
        <v>31</v>
      </c>
      <c r="V158" s="10">
        <v>11942</v>
      </c>
      <c r="W158" s="10">
        <v>1151</v>
      </c>
      <c r="X158" s="3">
        <v>882</v>
      </c>
      <c r="Y158" s="10">
        <v>61135</v>
      </c>
      <c r="Z158" s="10">
        <v>900</v>
      </c>
      <c r="AA158" s="10">
        <v>3025</v>
      </c>
      <c r="AB158" s="10">
        <v>1300</v>
      </c>
      <c r="AC158" s="10">
        <f>2000+5000+4996</f>
        <v>11996</v>
      </c>
      <c r="AD158" s="10">
        <v>1345</v>
      </c>
      <c r="AE158" s="10">
        <v>1060</v>
      </c>
      <c r="AF158" s="10">
        <v>65000</v>
      </c>
      <c r="AG158" s="10">
        <v>0</v>
      </c>
      <c r="AH158" s="10">
        <v>167337</v>
      </c>
      <c r="AI158" s="10">
        <v>168002</v>
      </c>
      <c r="AJ158" s="23">
        <f t="shared" si="14"/>
        <v>0</v>
      </c>
      <c r="AK158" s="10">
        <v>0</v>
      </c>
      <c r="AL158" s="10">
        <v>0</v>
      </c>
      <c r="AM158" s="10">
        <v>0</v>
      </c>
      <c r="AN158" s="10">
        <v>0</v>
      </c>
      <c r="AO158" s="10">
        <v>2694</v>
      </c>
      <c r="AP158" s="10">
        <v>0</v>
      </c>
      <c r="AQ158" s="10">
        <v>0</v>
      </c>
      <c r="AR158" s="10">
        <v>167306</v>
      </c>
      <c r="AS158" s="10">
        <v>0</v>
      </c>
      <c r="AT158" s="10">
        <v>546</v>
      </c>
      <c r="AU158" s="10">
        <v>0</v>
      </c>
      <c r="AV158" s="10">
        <v>0</v>
      </c>
      <c r="AW158" s="10">
        <v>0</v>
      </c>
      <c r="AX158" s="10">
        <v>0</v>
      </c>
      <c r="AY158" s="10">
        <f t="shared" si="13"/>
        <v>546</v>
      </c>
      <c r="AZ158" s="1">
        <v>0</v>
      </c>
      <c r="BA158" s="1">
        <v>0</v>
      </c>
      <c r="BB158" s="1">
        <v>0</v>
      </c>
      <c r="BC158" s="1">
        <v>0</v>
      </c>
      <c r="BD158" s="1">
        <v>0</v>
      </c>
    </row>
    <row r="159" spans="1:56" x14ac:dyDescent="0.25">
      <c r="A159" s="1">
        <v>19</v>
      </c>
      <c r="B159" s="1" t="s">
        <v>187</v>
      </c>
      <c r="C159" s="7" t="s">
        <v>546</v>
      </c>
      <c r="D159" s="1" t="s">
        <v>118</v>
      </c>
      <c r="E159" s="1" t="s">
        <v>648</v>
      </c>
      <c r="F159" s="7"/>
      <c r="G159" s="7" t="s">
        <v>649</v>
      </c>
      <c r="H159" s="10">
        <f>1582887+838122</f>
        <v>2421009</v>
      </c>
      <c r="I159" s="10">
        <v>86237</v>
      </c>
      <c r="J159" s="10">
        <v>800859</v>
      </c>
      <c r="K159" s="10">
        <v>291821</v>
      </c>
      <c r="L159" s="10">
        <v>820358</v>
      </c>
      <c r="M159" s="10">
        <v>152659</v>
      </c>
      <c r="N159" s="10">
        <v>2539</v>
      </c>
      <c r="O159" s="10">
        <v>2314143</v>
      </c>
      <c r="P159" s="23">
        <v>0.186</v>
      </c>
      <c r="Q159" s="10">
        <v>0</v>
      </c>
      <c r="R159" s="27">
        <f>230723/2307229</f>
        <v>0.10000004334203497</v>
      </c>
      <c r="S159" s="10">
        <v>230732</v>
      </c>
      <c r="T159" s="10">
        <f>3283+18280</f>
        <v>21563</v>
      </c>
      <c r="U159" s="10">
        <f>8894+2484+4324+658+251+636+912</f>
        <v>18159</v>
      </c>
      <c r="V159" s="10">
        <v>67416</v>
      </c>
      <c r="W159" s="10">
        <v>6050</v>
      </c>
      <c r="X159" s="10">
        <v>0</v>
      </c>
      <c r="Y159" s="10">
        <v>9750</v>
      </c>
      <c r="Z159" s="10">
        <v>11846</v>
      </c>
      <c r="AA159" s="10">
        <v>2356</v>
      </c>
      <c r="AB159" s="10">
        <v>17790</v>
      </c>
      <c r="AC159" s="10">
        <f>2075+5740+5067</f>
        <v>12882</v>
      </c>
      <c r="AD159" s="10">
        <v>250</v>
      </c>
      <c r="AE159" s="10">
        <v>0</v>
      </c>
      <c r="AF159" s="10">
        <v>1369</v>
      </c>
      <c r="AG159" s="10">
        <v>27971</v>
      </c>
      <c r="AH159" s="10">
        <v>140616</v>
      </c>
      <c r="AI159" s="10">
        <v>143923</v>
      </c>
      <c r="AJ159" s="23">
        <f t="shared" si="14"/>
        <v>0.19891761961654436</v>
      </c>
      <c r="AK159" s="10">
        <v>17331</v>
      </c>
      <c r="AL159" s="10">
        <v>0</v>
      </c>
      <c r="AM159" s="10">
        <v>117962</v>
      </c>
      <c r="AN159" s="10">
        <v>107</v>
      </c>
      <c r="AO159" s="10">
        <v>12359</v>
      </c>
      <c r="AP159" s="10">
        <v>0</v>
      </c>
      <c r="AQ159" s="10">
        <v>0</v>
      </c>
      <c r="AR159" s="10">
        <v>0</v>
      </c>
      <c r="AS159" s="10">
        <v>586</v>
      </c>
      <c r="AT159" s="10">
        <v>233</v>
      </c>
      <c r="AU159" s="10">
        <v>-19</v>
      </c>
      <c r="AV159" s="10">
        <v>-64</v>
      </c>
      <c r="AW159" s="10">
        <v>-174</v>
      </c>
      <c r="AX159" s="10">
        <v>9</v>
      </c>
      <c r="AY159" s="10">
        <f t="shared" si="13"/>
        <v>571</v>
      </c>
      <c r="AZ159" s="1">
        <v>0</v>
      </c>
      <c r="BA159" s="1" t="s">
        <v>405</v>
      </c>
      <c r="BB159" s="1" t="s">
        <v>405</v>
      </c>
      <c r="BC159" s="1" t="s">
        <v>405</v>
      </c>
      <c r="BD159" s="1" t="s">
        <v>405</v>
      </c>
    </row>
    <row r="160" spans="1:56" x14ac:dyDescent="0.25">
      <c r="A160" s="1">
        <v>19</v>
      </c>
      <c r="B160" s="1" t="s">
        <v>502</v>
      </c>
      <c r="C160" s="7" t="s">
        <v>58</v>
      </c>
      <c r="D160" s="1" t="s">
        <v>524</v>
      </c>
      <c r="E160" s="1" t="s">
        <v>609</v>
      </c>
      <c r="F160" s="7"/>
      <c r="G160" s="7" t="s">
        <v>610</v>
      </c>
      <c r="H160" s="10">
        <v>692833</v>
      </c>
      <c r="I160" s="10">
        <v>6633</v>
      </c>
      <c r="J160" s="10">
        <v>24526</v>
      </c>
      <c r="K160" s="10">
        <v>43457</v>
      </c>
      <c r="L160" s="10">
        <v>625797</v>
      </c>
      <c r="M160" s="10">
        <v>8</v>
      </c>
      <c r="N160" s="10">
        <v>0</v>
      </c>
      <c r="O160" s="10">
        <v>771355</v>
      </c>
      <c r="P160" s="23">
        <v>1.9E-2</v>
      </c>
      <c r="Q160" s="10">
        <v>0</v>
      </c>
      <c r="R160" s="27">
        <f>77136/771355</f>
        <v>0.10000064820996818</v>
      </c>
      <c r="S160" s="10">
        <v>77145</v>
      </c>
      <c r="T160" s="10">
        <v>0</v>
      </c>
      <c r="U160" s="10">
        <f>57+222</f>
        <v>279</v>
      </c>
      <c r="V160" s="10">
        <v>32241</v>
      </c>
      <c r="W160" s="10">
        <v>3312</v>
      </c>
      <c r="X160" s="10">
        <v>3584</v>
      </c>
      <c r="Y160" s="10">
        <v>-1142</v>
      </c>
      <c r="Z160" s="10">
        <v>3388</v>
      </c>
      <c r="AA160" s="10">
        <v>0</v>
      </c>
      <c r="AB160" s="10">
        <v>0</v>
      </c>
      <c r="AC160" s="10">
        <f>1935+52+133</f>
        <v>2120</v>
      </c>
      <c r="AD160" s="10">
        <v>0</v>
      </c>
      <c r="AE160" s="10">
        <v>796</v>
      </c>
      <c r="AF160" s="10">
        <v>0</v>
      </c>
      <c r="AG160" s="10">
        <v>42525</v>
      </c>
      <c r="AH160" s="10">
        <v>54976</v>
      </c>
      <c r="AI160" s="10">
        <v>56701</v>
      </c>
      <c r="AJ160" s="23">
        <f t="shared" si="14"/>
        <v>0.77351935389988358</v>
      </c>
      <c r="AK160" s="10">
        <v>401</v>
      </c>
      <c r="AL160" s="10">
        <v>0</v>
      </c>
      <c r="AM160" s="10">
        <v>38567</v>
      </c>
      <c r="AN160" s="10">
        <v>0</v>
      </c>
      <c r="AO160" s="10">
        <v>4086</v>
      </c>
      <c r="AP160" s="10">
        <v>0</v>
      </c>
      <c r="AQ160" s="10">
        <v>0</v>
      </c>
      <c r="AR160" s="10">
        <v>0</v>
      </c>
      <c r="AS160" s="10">
        <v>570</v>
      </c>
      <c r="AT160" s="10">
        <v>0</v>
      </c>
      <c r="AU160" s="10">
        <v>-4</v>
      </c>
      <c r="AV160" s="10">
        <v>-26</v>
      </c>
      <c r="AW160" s="10">
        <v>-294</v>
      </c>
      <c r="AX160" s="10">
        <v>0</v>
      </c>
      <c r="AY160" s="10">
        <f t="shared" si="13"/>
        <v>246</v>
      </c>
      <c r="AZ160" s="1">
        <v>8</v>
      </c>
      <c r="BA160" s="1" t="s">
        <v>405</v>
      </c>
      <c r="BB160" s="1" t="s">
        <v>405</v>
      </c>
      <c r="BC160" s="1" t="s">
        <v>405</v>
      </c>
      <c r="BD160" s="1" t="s">
        <v>405</v>
      </c>
    </row>
    <row r="161" spans="1:56" x14ac:dyDescent="0.25">
      <c r="A161" s="1">
        <v>19</v>
      </c>
      <c r="B161" s="1" t="s">
        <v>597</v>
      </c>
      <c r="C161" s="7" t="s">
        <v>457</v>
      </c>
      <c r="D161" s="1" t="s">
        <v>524</v>
      </c>
      <c r="E161" s="1" t="s">
        <v>609</v>
      </c>
      <c r="F161" s="7"/>
      <c r="G161" s="7" t="s">
        <v>610</v>
      </c>
      <c r="H161" s="10">
        <v>19925271</v>
      </c>
      <c r="I161" s="10">
        <v>1558501</v>
      </c>
      <c r="J161" s="10">
        <v>8224620</v>
      </c>
      <c r="K161" s="10">
        <v>1358516</v>
      </c>
      <c r="L161" s="10">
        <v>3672889</v>
      </c>
      <c r="M161" s="10">
        <v>2550577</v>
      </c>
      <c r="N161" s="10">
        <v>195438</v>
      </c>
      <c r="O161" s="10">
        <v>17026124</v>
      </c>
      <c r="P161" s="23">
        <v>0.25559999999999999</v>
      </c>
      <c r="Q161" s="10">
        <v>0</v>
      </c>
      <c r="R161" s="27">
        <f>998052/16830686</f>
        <v>5.9299543702496738E-2</v>
      </c>
      <c r="S161" s="10">
        <v>997830</v>
      </c>
      <c r="T161" s="10">
        <v>454591</v>
      </c>
      <c r="U161" s="10">
        <f>128510+5336</f>
        <v>133846</v>
      </c>
      <c r="V161" s="10">
        <v>617395</v>
      </c>
      <c r="W161" s="10">
        <v>50470</v>
      </c>
      <c r="X161" s="10">
        <v>79362</v>
      </c>
      <c r="Y161" s="10">
        <v>100204</v>
      </c>
      <c r="Z161" s="10">
        <v>2080</v>
      </c>
      <c r="AA161" s="10">
        <v>17398</v>
      </c>
      <c r="AB161" s="10">
        <v>19177</v>
      </c>
      <c r="AC161" s="10">
        <f>19881+32478+31466</f>
        <v>83825</v>
      </c>
      <c r="AD161" s="10">
        <v>12228</v>
      </c>
      <c r="AE161" s="10">
        <v>8121</v>
      </c>
      <c r="AF161" s="10">
        <v>126662</v>
      </c>
      <c r="AG161" s="10">
        <v>19177</v>
      </c>
      <c r="AH161" s="10">
        <v>1215694</v>
      </c>
      <c r="AI161" s="10">
        <v>1256919</v>
      </c>
      <c r="AJ161" s="23">
        <f t="shared" si="14"/>
        <v>1.5774528787671899E-2</v>
      </c>
      <c r="AK161" s="10">
        <v>146319</v>
      </c>
      <c r="AL161" s="10">
        <v>62</v>
      </c>
      <c r="AM161" s="10">
        <v>126473</v>
      </c>
      <c r="AN161" s="10">
        <v>0</v>
      </c>
      <c r="AO161" s="10">
        <v>147494</v>
      </c>
      <c r="AP161" s="10">
        <v>0</v>
      </c>
      <c r="AQ161" s="10">
        <v>0</v>
      </c>
      <c r="AR161" s="10">
        <v>0</v>
      </c>
      <c r="AS161" s="10">
        <v>5940</v>
      </c>
      <c r="AT161" s="10">
        <v>4494</v>
      </c>
      <c r="AU161" s="10">
        <v>-544</v>
      </c>
      <c r="AV161" s="10">
        <v>-2909</v>
      </c>
      <c r="AW161" s="10">
        <v>-329</v>
      </c>
      <c r="AX161" s="10">
        <v>-32</v>
      </c>
      <c r="AY161" s="10">
        <f t="shared" si="13"/>
        <v>6620</v>
      </c>
      <c r="AZ161" s="1">
        <v>0</v>
      </c>
      <c r="BA161" s="1">
        <v>110</v>
      </c>
      <c r="BB161" s="1">
        <v>23</v>
      </c>
      <c r="BC161" s="1">
        <v>172</v>
      </c>
      <c r="BD161" s="1">
        <v>0</v>
      </c>
    </row>
    <row r="162" spans="1:56" x14ac:dyDescent="0.25">
      <c r="A162" s="1">
        <v>19</v>
      </c>
      <c r="B162" s="1" t="s">
        <v>653</v>
      </c>
      <c r="C162" s="7" t="s">
        <v>523</v>
      </c>
      <c r="D162" s="1" t="s">
        <v>167</v>
      </c>
      <c r="E162" s="1" t="s">
        <v>128</v>
      </c>
      <c r="F162" s="7"/>
      <c r="G162" s="7" t="s">
        <v>131</v>
      </c>
      <c r="H162" s="10">
        <v>18277340</v>
      </c>
      <c r="I162" s="10">
        <v>821569</v>
      </c>
      <c r="J162" s="10">
        <v>7628154</v>
      </c>
      <c r="K162" s="10">
        <v>3063161</v>
      </c>
      <c r="L162" s="10">
        <v>3558357</v>
      </c>
      <c r="M162" s="10">
        <v>2248982</v>
      </c>
      <c r="N162" s="10">
        <v>0</v>
      </c>
      <c r="O162" s="10">
        <v>17321012</v>
      </c>
      <c r="P162" s="23">
        <v>0.28999999999999998</v>
      </c>
      <c r="Q162" s="10">
        <v>0</v>
      </c>
      <c r="R162" s="27">
        <f>848730/17321012</f>
        <v>4.9000023786139053E-2</v>
      </c>
      <c r="S162" s="10">
        <v>806424</v>
      </c>
      <c r="T162" s="10">
        <v>0</v>
      </c>
      <c r="U162" s="10">
        <f>168913+1137</f>
        <v>170050</v>
      </c>
      <c r="V162" s="10">
        <v>513846</v>
      </c>
      <c r="W162" s="10">
        <v>42382</v>
      </c>
      <c r="X162" s="10">
        <v>107621</v>
      </c>
      <c r="Y162" s="10">
        <v>54980</v>
      </c>
      <c r="Z162" s="10">
        <v>3042</v>
      </c>
      <c r="AA162" s="10">
        <v>16606</v>
      </c>
      <c r="AB162" s="10">
        <v>5386</v>
      </c>
      <c r="AC162" s="10">
        <f>6734+14771+14489</f>
        <v>35994</v>
      </c>
      <c r="AD162" s="10">
        <v>3560</v>
      </c>
      <c r="AE162" s="10">
        <v>0</v>
      </c>
      <c r="AF162" s="10">
        <v>12807</v>
      </c>
      <c r="AG162" s="10">
        <v>6240</v>
      </c>
      <c r="AH162" s="10">
        <v>843410</v>
      </c>
      <c r="AI162" s="10">
        <v>844192</v>
      </c>
      <c r="AJ162" s="23">
        <f t="shared" si="14"/>
        <v>7.3985368919031076E-3</v>
      </c>
      <c r="AK162" s="10">
        <v>71445</v>
      </c>
      <c r="AL162" s="10">
        <v>0</v>
      </c>
      <c r="AM162" s="10">
        <v>126473</v>
      </c>
      <c r="AN162" s="10">
        <v>0</v>
      </c>
      <c r="AO162" s="10">
        <v>85405</v>
      </c>
      <c r="AP162" s="10">
        <v>0</v>
      </c>
      <c r="AQ162" s="10">
        <v>0</v>
      </c>
      <c r="AR162" s="10">
        <v>0</v>
      </c>
      <c r="AS162" s="10">
        <v>5624</v>
      </c>
      <c r="AT162" s="10">
        <v>3422</v>
      </c>
      <c r="AU162" s="10">
        <v>-367</v>
      </c>
      <c r="AV162" s="10">
        <v>-1608</v>
      </c>
      <c r="AW162" s="10">
        <v>-1360</v>
      </c>
      <c r="AX162" s="10">
        <f>1+58</f>
        <v>59</v>
      </c>
      <c r="AY162" s="10">
        <f t="shared" si="13"/>
        <v>5770</v>
      </c>
      <c r="AZ162" s="1">
        <v>3</v>
      </c>
      <c r="BA162" s="1">
        <v>195</v>
      </c>
      <c r="BB162" s="1">
        <v>102</v>
      </c>
      <c r="BC162" s="1">
        <v>1021</v>
      </c>
      <c r="BD162" s="1">
        <v>42</v>
      </c>
    </row>
    <row r="163" spans="1:56" x14ac:dyDescent="0.25">
      <c r="A163" s="1">
        <v>20</v>
      </c>
      <c r="B163" s="1" t="s">
        <v>78</v>
      </c>
      <c r="C163" s="7" t="s">
        <v>639</v>
      </c>
      <c r="D163" s="1" t="s">
        <v>401</v>
      </c>
      <c r="E163" s="1" t="s">
        <v>443</v>
      </c>
      <c r="F163" s="7" t="s">
        <v>188</v>
      </c>
      <c r="G163" s="7" t="s">
        <v>444</v>
      </c>
      <c r="H163" s="10">
        <v>3305285</v>
      </c>
      <c r="I163" s="10">
        <v>94639</v>
      </c>
      <c r="J163" s="10">
        <v>2016741</v>
      </c>
      <c r="K163" s="10">
        <v>310598</v>
      </c>
      <c r="L163" s="10">
        <v>372395</v>
      </c>
      <c r="M163" s="10">
        <v>213542</v>
      </c>
      <c r="N163" s="10">
        <v>0</v>
      </c>
      <c r="O163" s="10">
        <v>3210780</v>
      </c>
      <c r="P163" s="23">
        <v>9.9599999999999994E-2</v>
      </c>
      <c r="Q163" s="10">
        <v>0</v>
      </c>
      <c r="R163" s="27">
        <f>296686/3210780</f>
        <v>9.2403092083543567E-2</v>
      </c>
      <c r="S163" s="10">
        <v>294930</v>
      </c>
      <c r="T163" s="10">
        <v>0</v>
      </c>
      <c r="U163" s="10">
        <f>2570+250+290</f>
        <v>3110</v>
      </c>
      <c r="V163" s="10">
        <v>62757</v>
      </c>
      <c r="W163" s="10">
        <v>4968</v>
      </c>
      <c r="X163" s="10">
        <v>3433</v>
      </c>
      <c r="Y163" s="10">
        <v>10800</v>
      </c>
      <c r="Z163" s="10">
        <v>5430</v>
      </c>
      <c r="AA163" s="10">
        <v>5643</v>
      </c>
      <c r="AB163" s="10">
        <v>273</v>
      </c>
      <c r="AC163" s="10">
        <f>6678+15531+6046</f>
        <v>28255</v>
      </c>
      <c r="AD163" s="10">
        <v>5342</v>
      </c>
      <c r="AE163" s="10">
        <v>4330</v>
      </c>
      <c r="AF163" s="10">
        <v>2338</v>
      </c>
      <c r="AG163" s="10">
        <v>12485</v>
      </c>
      <c r="AH163" s="10">
        <v>152870</v>
      </c>
      <c r="AI163" s="10">
        <v>163973</v>
      </c>
      <c r="AJ163" s="23">
        <f t="shared" si="14"/>
        <v>8.1670700595277035E-2</v>
      </c>
      <c r="AK163" s="10">
        <v>3532</v>
      </c>
      <c r="AL163" s="10">
        <v>0</v>
      </c>
      <c r="AM163" s="10">
        <v>126394</v>
      </c>
      <c r="AN163" s="10">
        <v>0</v>
      </c>
      <c r="AO163" s="10">
        <v>23029</v>
      </c>
      <c r="AP163" s="10">
        <v>0</v>
      </c>
      <c r="AQ163" s="10">
        <v>0</v>
      </c>
      <c r="AR163" s="10">
        <v>0</v>
      </c>
      <c r="AS163" s="10">
        <v>548</v>
      </c>
      <c r="AT163" s="10">
        <v>312</v>
      </c>
      <c r="AU163" s="10">
        <v>-71</v>
      </c>
      <c r="AV163" s="10">
        <v>-125</v>
      </c>
      <c r="AW163" s="10">
        <v>-99</v>
      </c>
      <c r="AX163" s="10">
        <v>-3</v>
      </c>
      <c r="AY163" s="10">
        <f t="shared" si="13"/>
        <v>562</v>
      </c>
      <c r="AZ163" s="1">
        <v>1</v>
      </c>
      <c r="BA163" s="1">
        <v>35</v>
      </c>
      <c r="BB163" s="1">
        <v>8</v>
      </c>
      <c r="BC163" s="1">
        <v>51</v>
      </c>
      <c r="BD163" s="1">
        <v>5</v>
      </c>
    </row>
    <row r="164" spans="1:56" x14ac:dyDescent="0.25">
      <c r="A164" s="1">
        <v>20</v>
      </c>
      <c r="B164" s="1" t="s">
        <v>190</v>
      </c>
      <c r="C164" s="7" t="s">
        <v>340</v>
      </c>
      <c r="D164" s="1" t="s">
        <v>605</v>
      </c>
      <c r="E164" s="1" t="s">
        <v>443</v>
      </c>
      <c r="F164" s="7" t="s">
        <v>429</v>
      </c>
      <c r="G164" s="7" t="s">
        <v>444</v>
      </c>
      <c r="H164" s="10">
        <v>11211706</v>
      </c>
      <c r="I164" s="10">
        <v>206418</v>
      </c>
      <c r="J164" s="10">
        <v>6015014</v>
      </c>
      <c r="K164" s="10">
        <v>1123361</v>
      </c>
      <c r="L164" s="10">
        <v>2393787</v>
      </c>
      <c r="M164" s="10">
        <v>787548</v>
      </c>
      <c r="N164" s="10">
        <v>2417</v>
      </c>
      <c r="O164" s="10">
        <v>10743618</v>
      </c>
      <c r="P164" s="23">
        <v>0.09</v>
      </c>
      <c r="Q164" s="10">
        <v>0</v>
      </c>
      <c r="R164" s="27">
        <f>421473/10698675</f>
        <v>3.9394878337738082E-2</v>
      </c>
      <c r="S164" s="10">
        <v>421491</v>
      </c>
      <c r="T164" s="10">
        <v>0</v>
      </c>
      <c r="U164" s="10">
        <f>28666+2302</f>
        <v>30968</v>
      </c>
      <c r="V164" s="10">
        <v>162933</v>
      </c>
      <c r="W164" s="10">
        <v>15112</v>
      </c>
      <c r="X164" s="10">
        <v>13047</v>
      </c>
      <c r="Y164" s="10">
        <v>16000</v>
      </c>
      <c r="Z164" s="10">
        <v>6600</v>
      </c>
      <c r="AA164" s="10">
        <v>9993</v>
      </c>
      <c r="AB164" s="10">
        <v>0</v>
      </c>
      <c r="AC164" s="10">
        <f>5876+20317+21729</f>
        <v>47922</v>
      </c>
      <c r="AD164" s="10">
        <v>4051</v>
      </c>
      <c r="AE164" s="10">
        <v>871</v>
      </c>
      <c r="AF164" s="10">
        <v>7029</v>
      </c>
      <c r="AG164" s="10">
        <v>194045</v>
      </c>
      <c r="AH164" s="10">
        <v>332171</v>
      </c>
      <c r="AI164" s="10">
        <v>339284</v>
      </c>
      <c r="AJ164" s="23">
        <f t="shared" si="14"/>
        <v>0.58417200779116785</v>
      </c>
      <c r="AK164" s="10">
        <v>44424</v>
      </c>
      <c r="AL164" s="10">
        <v>1568</v>
      </c>
      <c r="AM164" s="10">
        <v>126473</v>
      </c>
      <c r="AN164" s="10">
        <v>0</v>
      </c>
      <c r="AO164" s="10">
        <v>40656</v>
      </c>
      <c r="AP164" s="10">
        <v>0</v>
      </c>
      <c r="AQ164" s="10">
        <v>0</v>
      </c>
      <c r="AR164" s="10">
        <v>0</v>
      </c>
      <c r="AS164" s="10">
        <v>1946</v>
      </c>
      <c r="AT164" s="10">
        <v>1023</v>
      </c>
      <c r="AU164" s="10">
        <v>-179</v>
      </c>
      <c r="AV164" s="10">
        <v>-356</v>
      </c>
      <c r="AW164" s="10">
        <v>-402</v>
      </c>
      <c r="AX164" s="10">
        <f>3+18-1</f>
        <v>20</v>
      </c>
      <c r="AY164" s="10">
        <f t="shared" si="13"/>
        <v>2052</v>
      </c>
      <c r="AZ164" s="1">
        <v>1</v>
      </c>
      <c r="BA164" s="1" t="s">
        <v>405</v>
      </c>
      <c r="BB164" s="1" t="s">
        <v>405</v>
      </c>
      <c r="BC164" s="1" t="s">
        <v>405</v>
      </c>
      <c r="BD164" s="1" t="s">
        <v>405</v>
      </c>
    </row>
    <row r="165" spans="1:56" x14ac:dyDescent="0.25">
      <c r="A165" s="1">
        <v>20</v>
      </c>
      <c r="B165" s="1" t="s">
        <v>241</v>
      </c>
      <c r="C165" s="7" t="s">
        <v>639</v>
      </c>
      <c r="D165" s="1" t="s">
        <v>596</v>
      </c>
      <c r="E165" s="1" t="s">
        <v>314</v>
      </c>
      <c r="F165" s="7"/>
      <c r="G165" s="7" t="s">
        <v>301</v>
      </c>
      <c r="H165" s="10">
        <v>13749297</v>
      </c>
      <c r="I165" s="10">
        <v>261399</v>
      </c>
      <c r="J165" s="10">
        <v>7641017</v>
      </c>
      <c r="K165" s="10">
        <v>1404520</v>
      </c>
      <c r="L165" s="10">
        <v>1756802</v>
      </c>
      <c r="M165" s="10">
        <v>1298025</v>
      </c>
      <c r="N165" s="10">
        <v>6787</v>
      </c>
      <c r="O165" s="10">
        <v>13213946</v>
      </c>
      <c r="P165" s="23">
        <v>9.1600000000000001E-2</v>
      </c>
      <c r="Q165" s="10">
        <v>0</v>
      </c>
      <c r="R165" s="27">
        <f>950089/13082410</f>
        <v>7.262339278466276E-2</v>
      </c>
      <c r="S165" s="10">
        <v>950079</v>
      </c>
      <c r="T165" s="10">
        <v>0</v>
      </c>
      <c r="U165" s="10">
        <f>33152+2581+2066</f>
        <v>37799</v>
      </c>
      <c r="V165" s="10">
        <v>412551</v>
      </c>
      <c r="W165" s="10">
        <v>31233</v>
      </c>
      <c r="X165" s="10">
        <v>107399</v>
      </c>
      <c r="Y165" s="10">
        <f>39307+8141</f>
        <v>47448</v>
      </c>
      <c r="Z165" s="10">
        <v>2130</v>
      </c>
      <c r="AA165" s="10">
        <v>16314</v>
      </c>
      <c r="AB165" s="10">
        <v>2138</v>
      </c>
      <c r="AC165" s="10">
        <f>16726+32920+24392</f>
        <v>74038</v>
      </c>
      <c r="AD165" s="10">
        <v>10618</v>
      </c>
      <c r="AE165" s="10">
        <v>1354</v>
      </c>
      <c r="AF165" s="10">
        <v>53647</v>
      </c>
      <c r="AG165" s="10">
        <v>40158</v>
      </c>
      <c r="AH165" s="10">
        <v>838848</v>
      </c>
      <c r="AI165" s="10">
        <v>848249</v>
      </c>
      <c r="AJ165" s="23">
        <f t="shared" si="14"/>
        <v>4.7872796978713668E-2</v>
      </c>
      <c r="AK165" s="10">
        <v>82635</v>
      </c>
      <c r="AL165" s="10">
        <v>0</v>
      </c>
      <c r="AM165" s="10">
        <v>126473</v>
      </c>
      <c r="AN165" s="10">
        <v>0</v>
      </c>
      <c r="AO165" s="10">
        <v>111984</v>
      </c>
      <c r="AP165" s="10">
        <v>0</v>
      </c>
      <c r="AQ165" s="10">
        <v>0</v>
      </c>
      <c r="AR165" s="10">
        <v>0</v>
      </c>
      <c r="AS165" s="10">
        <v>4213</v>
      </c>
      <c r="AT165" s="10">
        <v>2133</v>
      </c>
      <c r="AU165" s="10">
        <v>-179</v>
      </c>
      <c r="AV165" s="10">
        <v>-733</v>
      </c>
      <c r="AW165" s="10">
        <v>-657</v>
      </c>
      <c r="AX165" s="10">
        <v>-3</v>
      </c>
      <c r="AY165" s="10">
        <f t="shared" si="13"/>
        <v>4774</v>
      </c>
      <c r="AZ165" s="1">
        <v>2</v>
      </c>
      <c r="BA165" s="1">
        <v>277</v>
      </c>
      <c r="BB165" s="1">
        <v>96</v>
      </c>
      <c r="BC165" s="1">
        <v>915</v>
      </c>
      <c r="BD165" s="1">
        <v>3466</v>
      </c>
    </row>
    <row r="166" spans="1:56" x14ac:dyDescent="0.25">
      <c r="A166" s="1">
        <v>20</v>
      </c>
      <c r="B166" s="1" t="s">
        <v>364</v>
      </c>
      <c r="C166" s="7" t="s">
        <v>569</v>
      </c>
      <c r="D166" s="1" t="s">
        <v>30</v>
      </c>
      <c r="E166" s="1" t="s">
        <v>425</v>
      </c>
      <c r="F166" s="7"/>
      <c r="G166" s="7" t="s">
        <v>418</v>
      </c>
      <c r="H166" s="10">
        <v>10109670</v>
      </c>
      <c r="I166" s="10">
        <v>255700</v>
      </c>
      <c r="J166" s="10">
        <v>3608023</v>
      </c>
      <c r="K166" s="10">
        <v>1988390</v>
      </c>
      <c r="L166" s="10">
        <v>1100166</v>
      </c>
      <c r="M166" s="10">
        <v>2112175</v>
      </c>
      <c r="N166" s="10">
        <v>10394</v>
      </c>
      <c r="O166" s="10">
        <v>9556102</v>
      </c>
      <c r="P166" s="23">
        <v>0.11899999999999999</v>
      </c>
      <c r="Q166" s="10">
        <v>0</v>
      </c>
      <c r="R166" s="27">
        <f>716708/9556102</f>
        <v>7.5000036625812491E-2</v>
      </c>
      <c r="S166" s="10">
        <v>716708</v>
      </c>
      <c r="T166" s="10">
        <v>0</v>
      </c>
      <c r="U166" s="10">
        <f>37893+3067</f>
        <v>40960</v>
      </c>
      <c r="V166" s="10">
        <v>261140</v>
      </c>
      <c r="W166" s="10">
        <v>22084</v>
      </c>
      <c r="X166" s="10">
        <v>62739</v>
      </c>
      <c r="Y166" s="10">
        <v>27660</v>
      </c>
      <c r="Z166" s="10">
        <v>0</v>
      </c>
      <c r="AA166" s="10">
        <v>5266</v>
      </c>
      <c r="AB166" s="10">
        <v>21140</v>
      </c>
      <c r="AC166" s="10">
        <f>13715+30804+15909</f>
        <v>60428</v>
      </c>
      <c r="AD166" s="10">
        <v>6323</v>
      </c>
      <c r="AE166" s="10">
        <v>22400</v>
      </c>
      <c r="AF166" s="10">
        <v>19182</v>
      </c>
      <c r="AG166" s="10">
        <v>478503</v>
      </c>
      <c r="AH166" s="10">
        <v>582453</v>
      </c>
      <c r="AI166" s="10">
        <v>551838</v>
      </c>
      <c r="AJ166" s="23">
        <f t="shared" si="14"/>
        <v>0.82153066427677424</v>
      </c>
      <c r="AK166" s="10">
        <v>3943</v>
      </c>
      <c r="AL166" s="10">
        <v>713</v>
      </c>
      <c r="AM166" s="10">
        <v>126468</v>
      </c>
      <c r="AN166" s="10">
        <v>0</v>
      </c>
      <c r="AO166" s="10">
        <v>59479</v>
      </c>
      <c r="AP166" s="10">
        <v>0</v>
      </c>
      <c r="AQ166" s="10">
        <v>0</v>
      </c>
      <c r="AR166" s="10">
        <v>0</v>
      </c>
      <c r="AS166" s="10">
        <v>3097</v>
      </c>
      <c r="AT166" s="10">
        <v>2069</v>
      </c>
      <c r="AU166" s="10">
        <v>-266</v>
      </c>
      <c r="AV166" s="10">
        <v>-589</v>
      </c>
      <c r="AW166" s="10">
        <v>-374</v>
      </c>
      <c r="AX166" s="10">
        <v>0</v>
      </c>
      <c r="AY166" s="10">
        <f t="shared" si="13"/>
        <v>3937</v>
      </c>
      <c r="AZ166" s="1">
        <v>19</v>
      </c>
      <c r="BA166" s="1" t="s">
        <v>405</v>
      </c>
      <c r="BB166" s="1" t="s">
        <v>405</v>
      </c>
      <c r="BC166" s="1" t="s">
        <v>405</v>
      </c>
      <c r="BD166" s="1" t="s">
        <v>405</v>
      </c>
    </row>
    <row r="167" spans="1:56" x14ac:dyDescent="0.25">
      <c r="A167" s="1">
        <v>20</v>
      </c>
      <c r="B167" s="1" t="s">
        <v>561</v>
      </c>
      <c r="C167" s="7" t="s">
        <v>40</v>
      </c>
      <c r="D167" s="1" t="s">
        <v>445</v>
      </c>
      <c r="E167" s="1" t="s">
        <v>443</v>
      </c>
      <c r="F167" s="7" t="s">
        <v>632</v>
      </c>
      <c r="G167" s="7" t="s">
        <v>444</v>
      </c>
      <c r="H167" s="10">
        <v>22973443</v>
      </c>
      <c r="I167" s="10">
        <v>581574</v>
      </c>
      <c r="J167" s="10">
        <v>14161654</v>
      </c>
      <c r="K167" s="10">
        <v>1629103</v>
      </c>
      <c r="L167" s="10">
        <v>2785255</v>
      </c>
      <c r="M167" s="10">
        <v>2253826</v>
      </c>
      <c r="N167" s="10">
        <v>0</v>
      </c>
      <c r="O167" s="10">
        <v>21714155</v>
      </c>
      <c r="P167" s="23">
        <v>0.13</v>
      </c>
      <c r="Q167" s="10">
        <v>214829</v>
      </c>
      <c r="R167" s="27">
        <f>884317/21499326</f>
        <v>4.1132312705989015E-2</v>
      </c>
      <c r="S167" s="10">
        <v>884317</v>
      </c>
      <c r="T167" s="10">
        <v>0</v>
      </c>
      <c r="U167" s="10">
        <f>71786+1751</f>
        <v>73537</v>
      </c>
      <c r="V167" s="10">
        <v>471778</v>
      </c>
      <c r="W167" s="10">
        <v>37095</v>
      </c>
      <c r="X167" s="10">
        <v>87846</v>
      </c>
      <c r="Y167" s="10">
        <v>39618</v>
      </c>
      <c r="Z167" s="10">
        <v>24913</v>
      </c>
      <c r="AA167" s="10">
        <v>17958</v>
      </c>
      <c r="AB167" s="10">
        <v>0</v>
      </c>
      <c r="AC167" s="10">
        <f>11985+45512+35601</f>
        <v>93098</v>
      </c>
      <c r="AD167" s="10">
        <v>6796</v>
      </c>
      <c r="AE167" s="10">
        <v>545</v>
      </c>
      <c r="AF167" s="10">
        <v>17145</v>
      </c>
      <c r="AG167" s="10">
        <v>119942</v>
      </c>
      <c r="AH167" s="10">
        <v>837386</v>
      </c>
      <c r="AI167" s="10">
        <v>842439</v>
      </c>
      <c r="AJ167" s="23">
        <f t="shared" si="14"/>
        <v>0.14323382526099074</v>
      </c>
      <c r="AK167" s="10">
        <v>114578</v>
      </c>
      <c r="AL167" s="10">
        <v>913</v>
      </c>
      <c r="AM167" s="10">
        <v>126473</v>
      </c>
      <c r="AN167" s="10">
        <v>0</v>
      </c>
      <c r="AO167" s="10">
        <v>108574</v>
      </c>
      <c r="AP167" s="10">
        <v>0</v>
      </c>
      <c r="AQ167" s="10">
        <v>0</v>
      </c>
      <c r="AR167" s="10">
        <v>0</v>
      </c>
      <c r="AS167" s="10">
        <v>3343</v>
      </c>
      <c r="AT167" s="10">
        <v>2618</v>
      </c>
      <c r="AU167" s="10">
        <v>-376</v>
      </c>
      <c r="AV167" s="10">
        <v>-923</v>
      </c>
      <c r="AW167" s="10">
        <v>-582</v>
      </c>
      <c r="AX167" s="10">
        <f>17+43</f>
        <v>60</v>
      </c>
      <c r="AY167" s="10">
        <f t="shared" si="13"/>
        <v>4140</v>
      </c>
      <c r="AZ167" s="1">
        <v>3</v>
      </c>
      <c r="BA167" s="1">
        <v>141</v>
      </c>
      <c r="BB167" s="1">
        <v>86</v>
      </c>
      <c r="BC167" s="1">
        <v>333</v>
      </c>
      <c r="BD167" s="1">
        <v>8</v>
      </c>
    </row>
    <row r="168" spans="1:56" x14ac:dyDescent="0.25">
      <c r="A168" s="1">
        <v>20</v>
      </c>
      <c r="B168" s="1" t="s">
        <v>618</v>
      </c>
      <c r="C168" s="7" t="s">
        <v>517</v>
      </c>
      <c r="D168" s="1" t="s">
        <v>636</v>
      </c>
      <c r="E168" s="1" t="s">
        <v>314</v>
      </c>
      <c r="F168" s="7"/>
      <c r="G168" s="7" t="s">
        <v>301</v>
      </c>
      <c r="H168" s="10">
        <v>4653375</v>
      </c>
      <c r="I168" s="10">
        <v>89762</v>
      </c>
      <c r="J168" s="10">
        <v>2082553</v>
      </c>
      <c r="K168" s="10">
        <v>777219</v>
      </c>
      <c r="L168" s="10">
        <v>808227</v>
      </c>
      <c r="M168" s="10">
        <v>300359</v>
      </c>
      <c r="N168" s="10">
        <v>0</v>
      </c>
      <c r="O168" s="10">
        <v>4373270</v>
      </c>
      <c r="P168" s="23">
        <v>0.11358</v>
      </c>
      <c r="Q168" s="10">
        <v>0</v>
      </c>
      <c r="R168" s="27">
        <f>391991/4373270</f>
        <v>8.9633386459102682E-2</v>
      </c>
      <c r="S168" s="10">
        <v>393166</v>
      </c>
      <c r="T168" s="10">
        <v>0</v>
      </c>
      <c r="U168" s="10">
        <v>26013</v>
      </c>
      <c r="V168" s="10">
        <v>98975</v>
      </c>
      <c r="W168" s="10">
        <v>7766</v>
      </c>
      <c r="X168" s="10">
        <v>13573</v>
      </c>
      <c r="Y168" s="10">
        <f>16800+1548</f>
        <v>18348</v>
      </c>
      <c r="Z168" s="10">
        <v>12836</v>
      </c>
      <c r="AA168" s="10">
        <v>12204</v>
      </c>
      <c r="AB168" s="10">
        <v>3834</v>
      </c>
      <c r="AC168" s="10">
        <f>4715+10493+5282+10783</f>
        <v>31273</v>
      </c>
      <c r="AD168" s="10">
        <v>1335</v>
      </c>
      <c r="AE168" s="10">
        <v>20317</v>
      </c>
      <c r="AF168" s="10">
        <v>8829</v>
      </c>
      <c r="AG168" s="10">
        <v>122828</v>
      </c>
      <c r="AH168" s="10">
        <v>266037</v>
      </c>
      <c r="AI168" s="10">
        <v>267451</v>
      </c>
      <c r="AJ168" s="23">
        <f t="shared" si="14"/>
        <v>0.46169517773843488</v>
      </c>
      <c r="AK168" s="10">
        <v>14860</v>
      </c>
      <c r="AL168" s="10">
        <v>0</v>
      </c>
      <c r="AM168" s="10">
        <v>126473</v>
      </c>
      <c r="AN168" s="10">
        <v>0</v>
      </c>
      <c r="AO168" s="10">
        <v>44208</v>
      </c>
      <c r="AP168" s="10">
        <v>0</v>
      </c>
      <c r="AQ168" s="10">
        <v>0</v>
      </c>
      <c r="AR168" s="10">
        <v>0</v>
      </c>
      <c r="AS168" s="10">
        <v>1079</v>
      </c>
      <c r="AT168" s="10">
        <v>605</v>
      </c>
      <c r="AU168" s="10">
        <v>-79</v>
      </c>
      <c r="AV168" s="10">
        <v>-130</v>
      </c>
      <c r="AW168" s="10">
        <v>-162</v>
      </c>
      <c r="AX168" s="10">
        <v>1</v>
      </c>
      <c r="AY168" s="10">
        <f t="shared" si="13"/>
        <v>1314</v>
      </c>
      <c r="AZ168" s="1">
        <v>14</v>
      </c>
      <c r="BA168" s="1" t="s">
        <v>405</v>
      </c>
      <c r="BB168" s="1" t="s">
        <v>405</v>
      </c>
      <c r="BC168" s="1" t="s">
        <v>405</v>
      </c>
      <c r="BD168" s="1" t="s">
        <v>405</v>
      </c>
    </row>
    <row r="169" spans="1:56" x14ac:dyDescent="0.25">
      <c r="A169" s="1">
        <v>21</v>
      </c>
      <c r="B169" s="1" t="s">
        <v>64</v>
      </c>
      <c r="C169" s="7" t="s">
        <v>61</v>
      </c>
      <c r="D169" s="1" t="s">
        <v>52</v>
      </c>
      <c r="E169" s="1" t="s">
        <v>227</v>
      </c>
      <c r="F169" s="7" t="s">
        <v>557</v>
      </c>
      <c r="G169" s="7" t="s">
        <v>235</v>
      </c>
      <c r="H169" s="10">
        <v>21604286</v>
      </c>
      <c r="I169" s="10">
        <v>392193</v>
      </c>
      <c r="J169" s="10">
        <v>12179320</v>
      </c>
      <c r="K169" s="10">
        <v>681178</v>
      </c>
      <c r="L169" s="10">
        <v>2736030</v>
      </c>
      <c r="M169" s="10">
        <v>2140570</v>
      </c>
      <c r="N169" s="10">
        <v>0</v>
      </c>
      <c r="O169" s="10">
        <v>19371357</v>
      </c>
      <c r="P169" s="23">
        <v>0.13400000000000001</v>
      </c>
      <c r="Q169" s="10">
        <v>0</v>
      </c>
      <c r="R169" s="27">
        <f>1259138/19371357</f>
        <v>6.4999989417365026E-2</v>
      </c>
      <c r="S169" s="10">
        <v>1255595</v>
      </c>
      <c r="T169" s="10">
        <v>0</v>
      </c>
      <c r="U169" s="10">
        <f>76751+5872</f>
        <v>82623</v>
      </c>
      <c r="V169" s="10">
        <v>621121</v>
      </c>
      <c r="W169" s="10">
        <v>46211</v>
      </c>
      <c r="X169" s="10">
        <v>124625</v>
      </c>
      <c r="Y169" s="10">
        <f>45322+11899</f>
        <v>57221</v>
      </c>
      <c r="Z169" s="10">
        <v>5170</v>
      </c>
      <c r="AA169" s="10">
        <v>34184</v>
      </c>
      <c r="AB169" s="10">
        <v>1771</v>
      </c>
      <c r="AC169" s="10">
        <f>26005+27531+40439</f>
        <v>93975</v>
      </c>
      <c r="AD169" s="10">
        <v>11885</v>
      </c>
      <c r="AE169" s="10">
        <v>15761</v>
      </c>
      <c r="AF169" s="10">
        <v>153399</v>
      </c>
      <c r="AG169" s="10">
        <v>98</v>
      </c>
      <c r="AH169" s="10">
        <v>1257929</v>
      </c>
      <c r="AI169" s="10">
        <v>1322634</v>
      </c>
      <c r="AJ169" s="23">
        <f t="shared" si="14"/>
        <v>7.7905827753394671E-5</v>
      </c>
      <c r="AK169" s="10">
        <v>181319</v>
      </c>
      <c r="AL169" s="10">
        <v>183</v>
      </c>
      <c r="AM169" s="10">
        <v>126473</v>
      </c>
      <c r="AN169" s="10">
        <v>0</v>
      </c>
      <c r="AO169" s="10">
        <v>135226</v>
      </c>
      <c r="AP169" s="10">
        <v>0</v>
      </c>
      <c r="AQ169" s="10">
        <v>0</v>
      </c>
      <c r="AR169" s="10">
        <v>0</v>
      </c>
      <c r="AS169" s="10">
        <v>7152</v>
      </c>
      <c r="AT169" s="10">
        <v>3788</v>
      </c>
      <c r="AU169" s="10">
        <v>-271</v>
      </c>
      <c r="AV169" s="10">
        <v>-1388</v>
      </c>
      <c r="AW169" s="10">
        <v>-836</v>
      </c>
      <c r="AX169" s="10">
        <f>1-1</f>
        <v>0</v>
      </c>
      <c r="AY169" s="10">
        <f t="shared" si="13"/>
        <v>8445</v>
      </c>
      <c r="AZ169" s="1">
        <v>0</v>
      </c>
      <c r="BA169" s="1" t="s">
        <v>405</v>
      </c>
      <c r="BB169" s="1" t="s">
        <v>405</v>
      </c>
      <c r="BC169" s="1" t="s">
        <v>405</v>
      </c>
      <c r="BD169" s="1" t="s">
        <v>405</v>
      </c>
    </row>
    <row r="170" spans="1:56" x14ac:dyDescent="0.25">
      <c r="A170" s="1">
        <v>21</v>
      </c>
      <c r="B170" s="1" t="s">
        <v>77</v>
      </c>
      <c r="C170" s="7" t="s">
        <v>291</v>
      </c>
      <c r="D170" s="1" t="s">
        <v>107</v>
      </c>
      <c r="E170" s="1" t="s">
        <v>227</v>
      </c>
      <c r="F170" s="7" t="s">
        <v>429</v>
      </c>
      <c r="G170" s="7" t="s">
        <v>235</v>
      </c>
      <c r="H170" s="10">
        <v>62979975</v>
      </c>
      <c r="I170" s="10">
        <v>1626945</v>
      </c>
      <c r="J170" s="10">
        <v>35322224</v>
      </c>
      <c r="K170" s="10">
        <v>6725276</v>
      </c>
      <c r="L170" s="10">
        <v>9763530</v>
      </c>
      <c r="M170" s="10">
        <v>6093703</v>
      </c>
      <c r="N170" s="10">
        <v>9553</v>
      </c>
      <c r="O170" s="10">
        <v>60133798</v>
      </c>
      <c r="P170" s="23">
        <v>0.15</v>
      </c>
      <c r="Q170" s="10">
        <v>0</v>
      </c>
      <c r="R170" s="27">
        <f>1677898/60089446</f>
        <v>2.7923339482943479E-2</v>
      </c>
      <c r="S170" s="10">
        <v>1677614</v>
      </c>
      <c r="T170" s="10">
        <v>0</v>
      </c>
      <c r="U170" s="10">
        <f>296006+20626</f>
        <v>316632</v>
      </c>
      <c r="V170" s="10">
        <v>1022752</v>
      </c>
      <c r="W170" s="10">
        <v>75065</v>
      </c>
      <c r="X170" s="10">
        <v>319007</v>
      </c>
      <c r="Y170" s="10">
        <v>131607</v>
      </c>
      <c r="Z170" s="10">
        <v>1954</v>
      </c>
      <c r="AA170" s="10">
        <v>17398</v>
      </c>
      <c r="AB170" s="10">
        <v>11849</v>
      </c>
      <c r="AC170" s="10">
        <f>30277+71987+42347</f>
        <v>144611</v>
      </c>
      <c r="AD170" s="10">
        <v>16839</v>
      </c>
      <c r="AE170" s="10">
        <v>0</v>
      </c>
      <c r="AF170" s="10">
        <v>62889</v>
      </c>
      <c r="AG170" s="10">
        <v>0</v>
      </c>
      <c r="AH170" s="10">
        <v>1918708</v>
      </c>
      <c r="AI170" s="10">
        <v>1991603</v>
      </c>
      <c r="AJ170" s="23">
        <f t="shared" si="14"/>
        <v>0</v>
      </c>
      <c r="AK170" s="10">
        <v>322148</v>
      </c>
      <c r="AL170" s="10">
        <v>0</v>
      </c>
      <c r="AM170" s="10">
        <v>126473</v>
      </c>
      <c r="AN170" s="10">
        <v>0</v>
      </c>
      <c r="AO170" s="10">
        <v>283727</v>
      </c>
      <c r="AP170" s="10">
        <v>0</v>
      </c>
      <c r="AQ170" s="10">
        <v>0</v>
      </c>
      <c r="AR170" s="10">
        <v>0</v>
      </c>
      <c r="AS170" s="10">
        <v>15882</v>
      </c>
      <c r="AT170" s="10">
        <v>9899</v>
      </c>
      <c r="AU170" s="10">
        <v>-682</v>
      </c>
      <c r="AV170" s="10">
        <v>-6016</v>
      </c>
      <c r="AW170" s="10">
        <v>-2611</v>
      </c>
      <c r="AX170" s="10">
        <f>3+33-17</f>
        <v>19</v>
      </c>
      <c r="AY170" s="10">
        <f t="shared" si="13"/>
        <v>16491</v>
      </c>
      <c r="AZ170" s="1">
        <v>32</v>
      </c>
      <c r="BA170" s="1" t="s">
        <v>405</v>
      </c>
      <c r="BB170" s="1" t="s">
        <v>405</v>
      </c>
      <c r="BC170" s="1" t="s">
        <v>405</v>
      </c>
      <c r="BD170" s="1" t="s">
        <v>405</v>
      </c>
    </row>
    <row r="171" spans="1:56" x14ac:dyDescent="0.25">
      <c r="A171" s="1">
        <v>21</v>
      </c>
      <c r="B171" s="1" t="s">
        <v>91</v>
      </c>
      <c r="C171" s="7" t="s">
        <v>580</v>
      </c>
      <c r="D171" s="1" t="s">
        <v>536</v>
      </c>
      <c r="E171" s="1" t="s">
        <v>227</v>
      </c>
      <c r="F171" s="7" t="s">
        <v>557</v>
      </c>
      <c r="G171" s="7" t="s">
        <v>235</v>
      </c>
      <c r="H171" s="10">
        <v>36115644</v>
      </c>
      <c r="I171" s="10">
        <v>1999688</v>
      </c>
      <c r="J171" s="10">
        <v>21246801</v>
      </c>
      <c r="K171" s="10">
        <v>1193044</v>
      </c>
      <c r="L171" s="10">
        <v>5443290</v>
      </c>
      <c r="M171" s="10">
        <v>3549345</v>
      </c>
      <c r="N171" s="10">
        <v>0</v>
      </c>
      <c r="O171" s="10">
        <v>33731195</v>
      </c>
      <c r="P171" s="23">
        <v>0.05</v>
      </c>
      <c r="Q171" s="10">
        <v>0</v>
      </c>
      <c r="R171" s="27">
        <f>1616967/33731195</f>
        <v>4.7936843032095368E-2</v>
      </c>
      <c r="S171" s="10">
        <v>1618893</v>
      </c>
      <c r="T171" s="10">
        <v>0</v>
      </c>
      <c r="U171" s="10">
        <f>59090+3227</f>
        <v>62317</v>
      </c>
      <c r="V171" s="10">
        <v>711269</v>
      </c>
      <c r="W171" s="10">
        <v>58383</v>
      </c>
      <c r="X171" s="10">
        <v>213178</v>
      </c>
      <c r="Y171" s="10">
        <f>122205+2262</f>
        <v>124467</v>
      </c>
      <c r="Z171" s="10">
        <v>0</v>
      </c>
      <c r="AA171" s="10">
        <v>42514</v>
      </c>
      <c r="AB171" s="10">
        <v>0</v>
      </c>
      <c r="AC171" s="10">
        <f>35580+61168+62274</f>
        <v>159022</v>
      </c>
      <c r="AD171" s="10">
        <v>12603</v>
      </c>
      <c r="AE171" s="10">
        <v>0</v>
      </c>
      <c r="AF171" s="10">
        <v>98496</v>
      </c>
      <c r="AG171" s="10">
        <v>0</v>
      </c>
      <c r="AH171" s="10">
        <v>1508279</v>
      </c>
      <c r="AI171" s="10">
        <v>1555019</v>
      </c>
      <c r="AJ171" s="23">
        <f t="shared" si="14"/>
        <v>0</v>
      </c>
      <c r="AK171" s="10">
        <v>213260</v>
      </c>
      <c r="AL171" s="10">
        <v>123</v>
      </c>
      <c r="AM171" s="10">
        <v>126551</v>
      </c>
      <c r="AN171" s="10">
        <v>78</v>
      </c>
      <c r="AO171" s="10">
        <v>259640</v>
      </c>
      <c r="AP171" s="10">
        <v>3233</v>
      </c>
      <c r="AQ171" s="10">
        <f>3233+78</f>
        <v>3311</v>
      </c>
      <c r="AR171" s="10">
        <v>0</v>
      </c>
      <c r="AS171" s="10">
        <v>10024</v>
      </c>
      <c r="AT171" s="10">
        <v>5691</v>
      </c>
      <c r="AU171" s="10">
        <v>-340</v>
      </c>
      <c r="AV171" s="10">
        <v>-2428</v>
      </c>
      <c r="AW171" s="10">
        <v>-1122</v>
      </c>
      <c r="AX171" s="10">
        <f>23-2</f>
        <v>21</v>
      </c>
      <c r="AY171" s="10">
        <f t="shared" si="13"/>
        <v>11846</v>
      </c>
      <c r="AZ171" s="1">
        <v>16</v>
      </c>
      <c r="BA171" s="1" t="s">
        <v>405</v>
      </c>
      <c r="BB171" s="1" t="s">
        <v>405</v>
      </c>
      <c r="BC171" s="1" t="s">
        <v>405</v>
      </c>
      <c r="BD171" s="1" t="s">
        <v>405</v>
      </c>
    </row>
    <row r="172" spans="1:56" x14ac:dyDescent="0.25">
      <c r="A172" s="1">
        <v>21</v>
      </c>
      <c r="B172" s="1" t="s">
        <v>157</v>
      </c>
      <c r="C172" s="7" t="s">
        <v>355</v>
      </c>
      <c r="D172" s="1" t="s">
        <v>290</v>
      </c>
      <c r="E172" s="1" t="s">
        <v>215</v>
      </c>
      <c r="F172" s="7" t="s">
        <v>382</v>
      </c>
      <c r="G172" s="7" t="s">
        <v>217</v>
      </c>
      <c r="H172" s="10">
        <v>25270941</v>
      </c>
      <c r="I172" s="10">
        <v>1352432</v>
      </c>
      <c r="J172" s="10">
        <v>15800687</v>
      </c>
      <c r="K172" s="10">
        <v>1303048</v>
      </c>
      <c r="L172" s="10">
        <v>1593777</v>
      </c>
      <c r="M172" s="10">
        <v>508888</v>
      </c>
      <c r="N172" s="10">
        <v>79764</v>
      </c>
      <c r="O172" s="10">
        <v>19870030</v>
      </c>
      <c r="P172" s="23">
        <v>0.21</v>
      </c>
      <c r="Q172" s="10">
        <v>0</v>
      </c>
      <c r="R172" s="27">
        <f>586803/19790020</f>
        <v>2.9651460685739581E-2</v>
      </c>
      <c r="S172" s="10">
        <v>583619</v>
      </c>
      <c r="T172" s="10">
        <v>0</v>
      </c>
      <c r="U172" s="10">
        <f>10764+748+1486</f>
        <v>12998</v>
      </c>
      <c r="V172" s="10">
        <v>264517</v>
      </c>
      <c r="W172" s="10">
        <v>18352</v>
      </c>
      <c r="X172" s="10">
        <v>16621</v>
      </c>
      <c r="Y172" s="10">
        <v>51120</v>
      </c>
      <c r="Z172" s="10">
        <v>0</v>
      </c>
      <c r="AA172" s="10">
        <v>17704</v>
      </c>
      <c r="AB172" s="10">
        <v>670</v>
      </c>
      <c r="AC172" s="10">
        <f>11355+31852+28685</f>
        <v>71892</v>
      </c>
      <c r="AD172" s="10">
        <v>9557</v>
      </c>
      <c r="AE172" s="10">
        <v>1163</v>
      </c>
      <c r="AF172" s="10">
        <v>49998</v>
      </c>
      <c r="AG172" s="10">
        <v>0</v>
      </c>
      <c r="AH172" s="10">
        <v>540492</v>
      </c>
      <c r="AI172" s="10">
        <v>537565</v>
      </c>
      <c r="AJ172" s="23">
        <f t="shared" ref="AJ172:AJ182" si="15">AG172/AH172</f>
        <v>0</v>
      </c>
      <c r="AK172" s="10">
        <v>64393</v>
      </c>
      <c r="AL172" s="10">
        <v>0</v>
      </c>
      <c r="AM172" s="10">
        <v>126473</v>
      </c>
      <c r="AN172" s="10">
        <v>0</v>
      </c>
      <c r="AO172" s="10">
        <v>73801</v>
      </c>
      <c r="AP172" s="10">
        <v>0</v>
      </c>
      <c r="AQ172" s="10">
        <v>0</v>
      </c>
      <c r="AR172" s="10">
        <v>0</v>
      </c>
      <c r="AS172" s="10">
        <v>2394</v>
      </c>
      <c r="AT172" s="10">
        <v>2412</v>
      </c>
      <c r="AU172" s="10">
        <v>-104</v>
      </c>
      <c r="AV172" s="10">
        <v>-1199</v>
      </c>
      <c r="AW172" s="10">
        <v>-296</v>
      </c>
      <c r="AX172" s="10">
        <v>0</v>
      </c>
      <c r="AY172" s="10">
        <f t="shared" si="13"/>
        <v>3207</v>
      </c>
      <c r="AZ172" s="1">
        <v>1</v>
      </c>
      <c r="BA172" s="1" t="s">
        <v>405</v>
      </c>
      <c r="BB172" s="1" t="s">
        <v>405</v>
      </c>
      <c r="BC172" s="1" t="s">
        <v>405</v>
      </c>
      <c r="BD172" s="1" t="s">
        <v>405</v>
      </c>
    </row>
    <row r="173" spans="1:56" x14ac:dyDescent="0.25">
      <c r="A173" s="1">
        <v>21</v>
      </c>
      <c r="B173" s="1" t="s">
        <v>251</v>
      </c>
      <c r="C173" s="7" t="s">
        <v>332</v>
      </c>
      <c r="D173" s="1" t="s">
        <v>581</v>
      </c>
      <c r="E173" s="1" t="s">
        <v>215</v>
      </c>
      <c r="F173" s="7" t="s">
        <v>429</v>
      </c>
      <c r="G173" s="7" t="s">
        <v>217</v>
      </c>
      <c r="H173" s="10">
        <v>4423233</v>
      </c>
      <c r="I173" s="10">
        <v>201143</v>
      </c>
      <c r="J173" s="10">
        <v>2209199</v>
      </c>
      <c r="K173" s="10">
        <v>241102</v>
      </c>
      <c r="L173" s="10">
        <v>536787</v>
      </c>
      <c r="M173" s="10">
        <v>258417</v>
      </c>
      <c r="N173" s="10">
        <v>17527</v>
      </c>
      <c r="O173" s="10">
        <v>3623961</v>
      </c>
      <c r="P173" s="23">
        <v>0.23</v>
      </c>
      <c r="Q173" s="10">
        <v>0</v>
      </c>
      <c r="R173" s="27">
        <f>360643/3606434</f>
        <v>9.9999889087114865E-2</v>
      </c>
      <c r="S173" s="10">
        <v>360764</v>
      </c>
      <c r="T173" s="10">
        <v>0</v>
      </c>
      <c r="U173" s="10">
        <f>4067+247</f>
        <v>4314</v>
      </c>
      <c r="V173" s="10">
        <v>101047</v>
      </c>
      <c r="W173" s="10">
        <v>6879</v>
      </c>
      <c r="X173" s="10">
        <v>2878</v>
      </c>
      <c r="Y173" s="10">
        <f>12069+2268+0</f>
        <v>14337</v>
      </c>
      <c r="Z173" s="10">
        <v>0</v>
      </c>
      <c r="AA173" s="10">
        <v>10205</v>
      </c>
      <c r="AB173" s="10">
        <v>0</v>
      </c>
      <c r="AC173" s="10">
        <f>17691+19091+15439</f>
        <v>52221</v>
      </c>
      <c r="AD173" s="10">
        <v>6446</v>
      </c>
      <c r="AE173" s="10">
        <v>0</v>
      </c>
      <c r="AF173" s="10">
        <v>18582</v>
      </c>
      <c r="AG173" s="10">
        <v>11069</v>
      </c>
      <c r="AH173" s="10">
        <v>236858</v>
      </c>
      <c r="AI173" s="10">
        <v>245343</v>
      </c>
      <c r="AJ173" s="23">
        <f t="shared" si="15"/>
        <v>4.6732641498281671E-2</v>
      </c>
      <c r="AK173" s="10">
        <v>5751</v>
      </c>
      <c r="AL173" s="10">
        <v>0</v>
      </c>
      <c r="AM173" s="10">
        <v>126473</v>
      </c>
      <c r="AN173" s="10">
        <v>0</v>
      </c>
      <c r="AO173" s="10">
        <v>25025</v>
      </c>
      <c r="AP173" s="10">
        <v>0</v>
      </c>
      <c r="AQ173" s="10">
        <v>0</v>
      </c>
      <c r="AR173" s="10">
        <v>0</v>
      </c>
      <c r="AS173" s="10">
        <v>764</v>
      </c>
      <c r="AT173" s="10">
        <v>786</v>
      </c>
      <c r="AU173" s="10">
        <v>-57</v>
      </c>
      <c r="AV173" s="10">
        <v>-248</v>
      </c>
      <c r="AW173" s="10">
        <v>-93</v>
      </c>
      <c r="AX173" s="10">
        <v>0</v>
      </c>
      <c r="AY173" s="10">
        <f t="shared" si="13"/>
        <v>1152</v>
      </c>
      <c r="AZ173" s="1">
        <v>1</v>
      </c>
      <c r="BA173" s="1">
        <v>22</v>
      </c>
      <c r="BB173" s="1">
        <v>7</v>
      </c>
      <c r="BC173" s="1">
        <v>50</v>
      </c>
      <c r="BD173" s="33">
        <v>4</v>
      </c>
    </row>
    <row r="174" spans="1:56" x14ac:dyDescent="0.25">
      <c r="A174" s="1">
        <v>21</v>
      </c>
      <c r="B174" s="1" t="s">
        <v>260</v>
      </c>
      <c r="C174" s="1" t="s">
        <v>407</v>
      </c>
      <c r="D174" s="1" t="s">
        <v>218</v>
      </c>
      <c r="E174" s="1" t="s">
        <v>215</v>
      </c>
      <c r="F174" s="7" t="s">
        <v>557</v>
      </c>
      <c r="G174" s="7" t="s">
        <v>217</v>
      </c>
      <c r="H174" s="10">
        <v>14733441</v>
      </c>
      <c r="I174" s="10">
        <v>534384</v>
      </c>
      <c r="J174" s="10">
        <v>9757149</v>
      </c>
      <c r="K174" s="10">
        <v>381932</v>
      </c>
      <c r="L174" s="10">
        <v>515203</v>
      </c>
      <c r="M174" s="10">
        <v>1371355</v>
      </c>
      <c r="N174" s="10">
        <v>17902</v>
      </c>
      <c r="O174" s="10">
        <v>12745741</v>
      </c>
      <c r="P174" s="23">
        <v>0.21</v>
      </c>
      <c r="Q174" s="10">
        <v>0</v>
      </c>
      <c r="R174" s="27">
        <f>701521/12727839</f>
        <v>5.5117054827610562E-2</v>
      </c>
      <c r="S174" s="10">
        <v>700061</v>
      </c>
      <c r="T174" s="10">
        <v>0</v>
      </c>
      <c r="U174" s="10">
        <f>43315+1776+2719</f>
        <v>47810</v>
      </c>
      <c r="V174" s="10">
        <v>286515</v>
      </c>
      <c r="W174" s="10">
        <v>28370</v>
      </c>
      <c r="X174" s="10">
        <v>40522</v>
      </c>
      <c r="Y174" s="10">
        <v>47891</v>
      </c>
      <c r="Z174" s="10">
        <v>2002</v>
      </c>
      <c r="AA174" s="10">
        <v>16887</v>
      </c>
      <c r="AB174" s="10">
        <v>0</v>
      </c>
      <c r="AC174" s="10">
        <f>8714+17192+24150</f>
        <v>50056</v>
      </c>
      <c r="AD174" s="10">
        <v>18196</v>
      </c>
      <c r="AE174" s="10">
        <v>7619</v>
      </c>
      <c r="AF174" s="10">
        <v>63930</v>
      </c>
      <c r="AG174" s="10">
        <v>0</v>
      </c>
      <c r="AH174" s="10">
        <v>593390</v>
      </c>
      <c r="AI174" s="10">
        <v>632021</v>
      </c>
      <c r="AJ174" s="23">
        <f t="shared" si="15"/>
        <v>0</v>
      </c>
      <c r="AK174" s="10">
        <v>52021</v>
      </c>
      <c r="AL174" s="10">
        <v>0</v>
      </c>
      <c r="AM174" s="10">
        <v>126473</v>
      </c>
      <c r="AN174" s="10">
        <v>0</v>
      </c>
      <c r="AO174" s="10">
        <v>97995</v>
      </c>
      <c r="AP174" s="10">
        <v>0</v>
      </c>
      <c r="AQ174" s="10">
        <v>0</v>
      </c>
      <c r="AR174" s="10">
        <v>0</v>
      </c>
      <c r="AS174" s="10">
        <v>1618</v>
      </c>
      <c r="AT174" s="10">
        <v>2858</v>
      </c>
      <c r="AU174" s="10">
        <v>-163</v>
      </c>
      <c r="AV174" s="10">
        <v>-1230</v>
      </c>
      <c r="AW174" s="10">
        <v>-19</v>
      </c>
      <c r="AX174" s="10">
        <v>68</v>
      </c>
      <c r="AY174" s="10">
        <f t="shared" si="13"/>
        <v>3132</v>
      </c>
      <c r="AZ174" s="1">
        <v>0</v>
      </c>
      <c r="BA174" s="1">
        <v>3</v>
      </c>
      <c r="BB174" s="1">
        <v>0</v>
      </c>
      <c r="BC174" s="1">
        <v>15</v>
      </c>
      <c r="BD174" s="1">
        <v>2</v>
      </c>
    </row>
    <row r="175" spans="1:56" x14ac:dyDescent="0.25">
      <c r="A175" s="1">
        <v>21</v>
      </c>
      <c r="B175" s="1" t="s">
        <v>266</v>
      </c>
      <c r="C175" s="7" t="s">
        <v>103</v>
      </c>
      <c r="D175" s="1" t="s">
        <v>352</v>
      </c>
      <c r="E175" s="1" t="s">
        <v>227</v>
      </c>
      <c r="F175" s="7" t="s">
        <v>382</v>
      </c>
      <c r="G175" s="7" t="s">
        <v>235</v>
      </c>
      <c r="H175" s="10">
        <v>38972335</v>
      </c>
      <c r="I175" s="10">
        <v>1028385</v>
      </c>
      <c r="J175" s="10">
        <v>24397658</v>
      </c>
      <c r="K175" s="10">
        <v>2197497</v>
      </c>
      <c r="L175" s="10">
        <v>5749928</v>
      </c>
      <c r="M175" s="10">
        <v>3305403</v>
      </c>
      <c r="N175" s="10">
        <v>22236</v>
      </c>
      <c r="O175" s="10">
        <v>37318505</v>
      </c>
      <c r="P175" s="23">
        <v>0.12</v>
      </c>
      <c r="Q175" s="10">
        <v>0</v>
      </c>
      <c r="R175" s="27">
        <f>1574024/37228488</f>
        <v>4.228009474894602E-2</v>
      </c>
      <c r="S175" s="10">
        <v>1573933</v>
      </c>
      <c r="T175" s="10">
        <v>0</v>
      </c>
      <c r="U175" s="10">
        <f>150026+11972+5683</f>
        <v>167681</v>
      </c>
      <c r="V175" s="10">
        <v>839354</v>
      </c>
      <c r="W175" s="10">
        <v>63809</v>
      </c>
      <c r="X175" s="10">
        <v>182575</v>
      </c>
      <c r="Y175" s="10">
        <v>108163</v>
      </c>
      <c r="Z175" s="10">
        <v>2564</v>
      </c>
      <c r="AA175" s="10">
        <v>17323</v>
      </c>
      <c r="AB175" s="10">
        <v>0</v>
      </c>
      <c r="AC175" s="10">
        <f>39538+50379+56628</f>
        <v>146545</v>
      </c>
      <c r="AD175" s="10">
        <v>10179</v>
      </c>
      <c r="AE175" s="10">
        <v>9066</v>
      </c>
      <c r="AF175" s="10">
        <v>119226</v>
      </c>
      <c r="AG175" s="10">
        <v>0</v>
      </c>
      <c r="AH175" s="10">
        <v>1648090</v>
      </c>
      <c r="AI175" s="10">
        <v>1672871</v>
      </c>
      <c r="AJ175" s="23">
        <f t="shared" si="15"/>
        <v>0</v>
      </c>
      <c r="AK175" s="10">
        <v>182903</v>
      </c>
      <c r="AL175" s="10">
        <v>120</v>
      </c>
      <c r="AM175" s="10">
        <v>126473</v>
      </c>
      <c r="AN175" s="10">
        <v>0</v>
      </c>
      <c r="AO175" s="10">
        <v>172190</v>
      </c>
      <c r="AP175" s="10">
        <v>0</v>
      </c>
      <c r="AQ175" s="10">
        <v>0</v>
      </c>
      <c r="AR175" s="10">
        <v>0</v>
      </c>
      <c r="AS175" s="10">
        <v>10179</v>
      </c>
      <c r="AT175" s="10">
        <v>5400</v>
      </c>
      <c r="AU175" s="10">
        <v>-494</v>
      </c>
      <c r="AV175" s="10">
        <v>-2130</v>
      </c>
      <c r="AW175" s="10">
        <v>-1685</v>
      </c>
      <c r="AX175" s="10">
        <v>-5</v>
      </c>
      <c r="AY175" s="10">
        <f t="shared" si="13"/>
        <v>11265</v>
      </c>
      <c r="AZ175" s="1">
        <v>10</v>
      </c>
      <c r="BA175" s="1" t="s">
        <v>405</v>
      </c>
      <c r="BB175" s="1" t="s">
        <v>405</v>
      </c>
      <c r="BC175" s="1" t="s">
        <v>405</v>
      </c>
      <c r="BD175" s="1" t="s">
        <v>405</v>
      </c>
    </row>
    <row r="176" spans="1:56" x14ac:dyDescent="0.25">
      <c r="A176" s="1">
        <v>21</v>
      </c>
      <c r="B176" s="1" t="s">
        <v>297</v>
      </c>
      <c r="C176" s="7" t="s">
        <v>292</v>
      </c>
      <c r="D176" s="1" t="s">
        <v>529</v>
      </c>
      <c r="E176" s="1" t="s">
        <v>476</v>
      </c>
      <c r="F176" s="7"/>
      <c r="G176" s="7" t="s">
        <v>479</v>
      </c>
      <c r="H176" s="10">
        <v>38656576</v>
      </c>
      <c r="I176" s="10">
        <v>1936635</v>
      </c>
      <c r="J176" s="10">
        <v>11453206</v>
      </c>
      <c r="K176" s="10">
        <v>2262032</v>
      </c>
      <c r="L176" s="10">
        <v>13194879</v>
      </c>
      <c r="M176" s="10">
        <v>5952264</v>
      </c>
      <c r="N176" s="10">
        <v>85240</v>
      </c>
      <c r="O176" s="10">
        <v>35201007</v>
      </c>
      <c r="P176" s="23">
        <v>0.16</v>
      </c>
      <c r="Q176" s="10">
        <v>174499</v>
      </c>
      <c r="R176" s="27">
        <f>2201106/34935914</f>
        <v>6.3004105173833438E-2</v>
      </c>
      <c r="S176" s="10">
        <v>2247633</v>
      </c>
      <c r="T176" s="10">
        <v>0</v>
      </c>
      <c r="U176" s="10">
        <f>186647+18494+12914</f>
        <v>218055</v>
      </c>
      <c r="V176" s="10">
        <v>1170763</v>
      </c>
      <c r="W176" s="10">
        <v>109262</v>
      </c>
      <c r="X176" s="10">
        <v>240244</v>
      </c>
      <c r="Y176" s="10">
        <f>214980+36567</f>
        <v>251547</v>
      </c>
      <c r="Z176" s="10">
        <v>0</v>
      </c>
      <c r="AA176" s="10">
        <v>0</v>
      </c>
      <c r="AB176" s="10">
        <v>4316</v>
      </c>
      <c r="AC176" s="10">
        <f>25965+115660+94166</f>
        <v>235791</v>
      </c>
      <c r="AD176" s="10">
        <v>29763</v>
      </c>
      <c r="AE176" s="10">
        <v>0</v>
      </c>
      <c r="AF176" s="10">
        <v>32580</v>
      </c>
      <c r="AG176" s="10">
        <v>0</v>
      </c>
      <c r="AH176" s="10">
        <v>2272204</v>
      </c>
      <c r="AI176" s="10">
        <v>2280421</v>
      </c>
      <c r="AJ176" s="23">
        <f t="shared" si="15"/>
        <v>0</v>
      </c>
      <c r="AK176" s="10">
        <v>103307</v>
      </c>
      <c r="AL176" s="10">
        <v>0</v>
      </c>
      <c r="AM176" s="10">
        <v>126473</v>
      </c>
      <c r="AN176" s="10">
        <v>0</v>
      </c>
      <c r="AO176" s="10">
        <v>277363</v>
      </c>
      <c r="AP176" s="10">
        <v>0</v>
      </c>
      <c r="AQ176" s="10">
        <v>0</v>
      </c>
      <c r="AR176" s="10">
        <v>0</v>
      </c>
      <c r="AS176" s="10">
        <v>13840</v>
      </c>
      <c r="AT176" s="10">
        <v>9751</v>
      </c>
      <c r="AU176" s="10">
        <v>-675</v>
      </c>
      <c r="AV176" s="10">
        <v>-4392</v>
      </c>
      <c r="AW176" s="10">
        <v>-2367</v>
      </c>
      <c r="AX176" s="10">
        <v>0</v>
      </c>
      <c r="AY176" s="10">
        <f t="shared" si="13"/>
        <v>16157</v>
      </c>
      <c r="AZ176" s="1">
        <v>176</v>
      </c>
      <c r="BA176" s="1">
        <v>420</v>
      </c>
      <c r="BB176" s="1">
        <v>290</v>
      </c>
      <c r="BC176" s="1">
        <v>1387</v>
      </c>
      <c r="BD176" s="1">
        <v>125</v>
      </c>
    </row>
    <row r="177" spans="1:56" x14ac:dyDescent="0.25">
      <c r="A177" s="1">
        <v>21</v>
      </c>
      <c r="B177" s="1" t="s">
        <v>516</v>
      </c>
      <c r="C177" s="7" t="s">
        <v>506</v>
      </c>
      <c r="D177" s="1" t="s">
        <v>377</v>
      </c>
      <c r="E177" s="1" t="s">
        <v>215</v>
      </c>
      <c r="F177" s="7" t="s">
        <v>557</v>
      </c>
      <c r="G177" s="7" t="s">
        <v>217</v>
      </c>
      <c r="H177" s="10">
        <v>5996141</v>
      </c>
      <c r="I177" s="10">
        <v>292318</v>
      </c>
      <c r="J177" s="10">
        <v>4060974</v>
      </c>
      <c r="K177" s="10">
        <v>238721</v>
      </c>
      <c r="L177" s="10">
        <v>1401314</v>
      </c>
      <c r="M177" s="10">
        <v>110127</v>
      </c>
      <c r="N177" s="10">
        <v>0</v>
      </c>
      <c r="O177" s="10">
        <v>6364261</v>
      </c>
      <c r="P177" s="23">
        <v>0.15</v>
      </c>
      <c r="Q177" s="10">
        <v>0</v>
      </c>
      <c r="R177" s="27">
        <f>548955/6364259</f>
        <v>8.6255917617431968E-2</v>
      </c>
      <c r="S177" s="10">
        <v>550625</v>
      </c>
      <c r="T177" s="10">
        <v>0</v>
      </c>
      <c r="U177" s="10">
        <f>59067+436</f>
        <v>59503</v>
      </c>
      <c r="V177" s="10">
        <v>194167</v>
      </c>
      <c r="W177" s="10">
        <v>74337</v>
      </c>
      <c r="X177" s="10">
        <v>24496</v>
      </c>
      <c r="Y177" s="10">
        <v>89509</v>
      </c>
      <c r="Z177" s="10">
        <v>1529</v>
      </c>
      <c r="AA177" s="10">
        <v>11146</v>
      </c>
      <c r="AB177" s="10">
        <v>0</v>
      </c>
      <c r="AC177" s="10">
        <f>15384+8946+7310</f>
        <v>31640</v>
      </c>
      <c r="AD177" s="10">
        <v>483</v>
      </c>
      <c r="AE177" s="10">
        <v>0</v>
      </c>
      <c r="AF177" s="10">
        <v>0</v>
      </c>
      <c r="AG177" s="10">
        <v>34157</v>
      </c>
      <c r="AH177" s="10">
        <v>479586</v>
      </c>
      <c r="AI177" s="10">
        <v>585676</v>
      </c>
      <c r="AJ177" s="23">
        <f t="shared" si="15"/>
        <v>7.1221845508417675E-2</v>
      </c>
      <c r="AK177" s="10">
        <v>60249</v>
      </c>
      <c r="AL177" s="10">
        <v>3950</v>
      </c>
      <c r="AM177" s="10">
        <v>126473</v>
      </c>
      <c r="AN177" s="10">
        <v>0</v>
      </c>
      <c r="AO177" s="10">
        <v>65621</v>
      </c>
      <c r="AP177" s="10">
        <v>0</v>
      </c>
      <c r="AQ177" s="10">
        <v>0</v>
      </c>
      <c r="AR177" s="10">
        <v>0</v>
      </c>
      <c r="AS177" s="10">
        <v>1443</v>
      </c>
      <c r="AT177" s="10">
        <v>0</v>
      </c>
      <c r="AU177" s="10">
        <v>-39</v>
      </c>
      <c r="AV177" s="10">
        <v>-224</v>
      </c>
      <c r="AW177" s="10">
        <v>-281</v>
      </c>
      <c r="AX177" s="10">
        <v>0</v>
      </c>
      <c r="AY177" s="10">
        <f t="shared" si="13"/>
        <v>899</v>
      </c>
      <c r="AZ177" s="1">
        <v>17</v>
      </c>
      <c r="BA177" s="1" t="s">
        <v>405</v>
      </c>
      <c r="BB177" s="1" t="s">
        <v>405</v>
      </c>
      <c r="BC177" s="1" t="s">
        <v>405</v>
      </c>
      <c r="BD177" s="1">
        <v>0</v>
      </c>
    </row>
    <row r="178" spans="1:56" x14ac:dyDescent="0.25">
      <c r="A178" s="1">
        <v>21</v>
      </c>
      <c r="B178" s="1" t="s">
        <v>553</v>
      </c>
      <c r="C178" s="7" t="s">
        <v>312</v>
      </c>
      <c r="D178" s="1" t="s">
        <v>133</v>
      </c>
      <c r="E178" s="1" t="s">
        <v>227</v>
      </c>
      <c r="F178" s="7" t="s">
        <v>382</v>
      </c>
      <c r="G178" s="7" t="s">
        <v>235</v>
      </c>
      <c r="H178" s="10">
        <v>27719879</v>
      </c>
      <c r="I178" s="10">
        <v>856236</v>
      </c>
      <c r="J178" s="10">
        <v>17997795</v>
      </c>
      <c r="K178" s="10">
        <v>1138979</v>
      </c>
      <c r="L178" s="10">
        <v>3268049</v>
      </c>
      <c r="M178" s="10">
        <v>2489955</v>
      </c>
      <c r="N178" s="10">
        <v>11941</v>
      </c>
      <c r="O178" s="10">
        <v>26166873</v>
      </c>
      <c r="P178" s="23">
        <v>0.13</v>
      </c>
      <c r="Q178" s="10">
        <v>0</v>
      </c>
      <c r="R178" s="27">
        <f>1161768/26040696</f>
        <v>4.461355410777039E-2</v>
      </c>
      <c r="S178" s="10">
        <v>1165622</v>
      </c>
      <c r="T178" s="10">
        <v>0</v>
      </c>
      <c r="U178" s="10">
        <f>103448+1755</f>
        <v>105203</v>
      </c>
      <c r="V178" s="10">
        <v>541891</v>
      </c>
      <c r="W178" s="10">
        <v>48178</v>
      </c>
      <c r="X178" s="10">
        <v>147993</v>
      </c>
      <c r="Y178" s="10">
        <v>75439</v>
      </c>
      <c r="Z178" s="10">
        <v>2244</v>
      </c>
      <c r="AA178" s="10">
        <v>20597</v>
      </c>
      <c r="AB178" s="10">
        <v>0</v>
      </c>
      <c r="AC178" s="10">
        <f>24660+48492+41999</f>
        <v>115151</v>
      </c>
      <c r="AD178" s="10">
        <v>10278</v>
      </c>
      <c r="AE178" s="10">
        <v>1365</v>
      </c>
      <c r="AF178" s="10">
        <v>56128</v>
      </c>
      <c r="AG178" s="10">
        <v>0</v>
      </c>
      <c r="AH178" s="10">
        <v>1135171</v>
      </c>
      <c r="AI178" s="10">
        <v>1134043</v>
      </c>
      <c r="AJ178" s="23">
        <f t="shared" si="15"/>
        <v>0</v>
      </c>
      <c r="AK178" s="10">
        <v>125623</v>
      </c>
      <c r="AL178" s="10">
        <v>0</v>
      </c>
      <c r="AM178" s="10">
        <v>126473</v>
      </c>
      <c r="AN178" s="10">
        <v>0</v>
      </c>
      <c r="AO178" s="10">
        <v>146746</v>
      </c>
      <c r="AP178" s="10">
        <v>0</v>
      </c>
      <c r="AQ178" s="10">
        <v>0</v>
      </c>
      <c r="AR178" s="10">
        <v>0</v>
      </c>
      <c r="AS178" s="10">
        <v>7094</v>
      </c>
      <c r="AT178" s="10">
        <v>4101</v>
      </c>
      <c r="AU178" s="10">
        <v>-300</v>
      </c>
      <c r="AV178" s="10">
        <v>-1823</v>
      </c>
      <c r="AW178" s="10">
        <v>-861</v>
      </c>
      <c r="AX178" s="10">
        <v>-4</v>
      </c>
      <c r="AY178" s="10">
        <f t="shared" si="13"/>
        <v>8207</v>
      </c>
      <c r="AZ178" s="1">
        <v>13</v>
      </c>
      <c r="BA178" s="1" t="s">
        <v>405</v>
      </c>
      <c r="BB178" s="1" t="s">
        <v>405</v>
      </c>
      <c r="BC178" s="1" t="s">
        <v>405</v>
      </c>
      <c r="BD178" s="1" t="s">
        <v>405</v>
      </c>
    </row>
    <row r="179" spans="1:56" x14ac:dyDescent="0.25">
      <c r="A179" s="1">
        <v>21</v>
      </c>
      <c r="B179" s="1" t="s">
        <v>554</v>
      </c>
      <c r="C179" s="7" t="s">
        <v>586</v>
      </c>
      <c r="D179" s="1" t="s">
        <v>86</v>
      </c>
      <c r="E179" s="1" t="s">
        <v>215</v>
      </c>
      <c r="F179" s="7" t="s">
        <v>382</v>
      </c>
      <c r="G179" s="7" t="s">
        <v>217</v>
      </c>
      <c r="H179" s="10">
        <v>17567135</v>
      </c>
      <c r="I179" s="10">
        <v>1313814</v>
      </c>
      <c r="J179" s="10">
        <v>5708249</v>
      </c>
      <c r="K179" s="10">
        <v>1903764</v>
      </c>
      <c r="L179" s="10">
        <v>5881590</v>
      </c>
      <c r="M179" s="10">
        <v>346475</v>
      </c>
      <c r="N179" s="10">
        <v>60860</v>
      </c>
      <c r="O179" s="10">
        <v>14561822</v>
      </c>
      <c r="P179" s="23">
        <v>0.23</v>
      </c>
      <c r="Q179" s="10">
        <v>0</v>
      </c>
      <c r="R179" s="27">
        <f>660854/14500962</f>
        <v>4.5573114390617668E-2</v>
      </c>
      <c r="S179" s="10">
        <v>660884</v>
      </c>
      <c r="T179" s="10">
        <v>0</v>
      </c>
      <c r="U179" s="10">
        <f>20006+1355</f>
        <v>21361</v>
      </c>
      <c r="V179" s="10">
        <v>343166</v>
      </c>
      <c r="W179" s="10">
        <v>27260</v>
      </c>
      <c r="X179" s="10">
        <v>70311</v>
      </c>
      <c r="Y179" s="10">
        <f>48477+2607</f>
        <v>51084</v>
      </c>
      <c r="Z179" s="10">
        <v>0</v>
      </c>
      <c r="AA179" s="10">
        <v>13969</v>
      </c>
      <c r="AB179" s="10">
        <v>0</v>
      </c>
      <c r="AC179" s="10">
        <f>14023+29574+18026</f>
        <v>61623</v>
      </c>
      <c r="AD179" s="10">
        <v>5691</v>
      </c>
      <c r="AE179" s="10">
        <v>0</v>
      </c>
      <c r="AF179" s="10">
        <v>18262</v>
      </c>
      <c r="AG179" s="10">
        <v>3634</v>
      </c>
      <c r="AH179" s="10">
        <v>622980</v>
      </c>
      <c r="AI179" s="10">
        <v>633241</v>
      </c>
      <c r="AJ179" s="23">
        <f t="shared" si="15"/>
        <v>5.833253073934958E-3</v>
      </c>
      <c r="AK179" s="10">
        <v>84046</v>
      </c>
      <c r="AL179" s="10">
        <v>0</v>
      </c>
      <c r="AM179" s="10">
        <v>126473</v>
      </c>
      <c r="AN179" s="10">
        <v>0</v>
      </c>
      <c r="AO179" s="10">
        <v>77797</v>
      </c>
      <c r="AP179" s="10">
        <v>0</v>
      </c>
      <c r="AQ179" s="10">
        <v>0</v>
      </c>
      <c r="AR179" s="10">
        <v>0</v>
      </c>
      <c r="AS179" s="10">
        <v>4240</v>
      </c>
      <c r="AT179" s="10">
        <v>4228</v>
      </c>
      <c r="AU179" s="10">
        <v>-371</v>
      </c>
      <c r="AV179" s="10">
        <v>-1604</v>
      </c>
      <c r="AW179" s="10">
        <v>-539</v>
      </c>
      <c r="AX179" s="10">
        <f>87-1</f>
        <v>86</v>
      </c>
      <c r="AY179" s="10">
        <f t="shared" si="13"/>
        <v>6040</v>
      </c>
      <c r="AZ179" s="1">
        <v>0</v>
      </c>
      <c r="BA179" s="1" t="s">
        <v>405</v>
      </c>
      <c r="BB179" s="1" t="s">
        <v>405</v>
      </c>
      <c r="BC179" s="1" t="s">
        <v>405</v>
      </c>
      <c r="BD179" s="1" t="s">
        <v>405</v>
      </c>
    </row>
    <row r="180" spans="1:56" x14ac:dyDescent="0.25">
      <c r="A180" s="1">
        <v>21</v>
      </c>
      <c r="B180" s="1" t="s">
        <v>588</v>
      </c>
      <c r="C180" s="7" t="s">
        <v>491</v>
      </c>
      <c r="D180" s="1" t="s">
        <v>50</v>
      </c>
      <c r="E180" s="1" t="s">
        <v>227</v>
      </c>
      <c r="F180" s="7" t="s">
        <v>429</v>
      </c>
      <c r="G180" s="7" t="s">
        <v>235</v>
      </c>
      <c r="H180" s="10">
        <v>71912166</v>
      </c>
      <c r="I180" s="10">
        <v>1884591</v>
      </c>
      <c r="J180" s="10">
        <v>49468419</v>
      </c>
      <c r="K180" s="10">
        <v>7261</v>
      </c>
      <c r="L180" s="10">
        <v>9959284</v>
      </c>
      <c r="M180" s="10">
        <v>7183001</v>
      </c>
      <c r="N180" s="10">
        <v>6846</v>
      </c>
      <c r="O180" s="10">
        <v>68889092</v>
      </c>
      <c r="P180" s="23">
        <v>0.13</v>
      </c>
      <c r="Q180" s="10">
        <v>0</v>
      </c>
      <c r="R180" s="27">
        <f>1697255/68882246</f>
        <v>2.4639948587042299E-2</v>
      </c>
      <c r="S180" s="10">
        <v>1695967</v>
      </c>
      <c r="T180" s="10">
        <v>0</v>
      </c>
      <c r="U180" s="10">
        <v>345923</v>
      </c>
      <c r="V180" s="10">
        <v>1040096</v>
      </c>
      <c r="W180" s="10">
        <v>76327</v>
      </c>
      <c r="X180" s="10">
        <v>303458</v>
      </c>
      <c r="Y180" s="10">
        <v>137908</v>
      </c>
      <c r="Z180" s="10">
        <v>1881</v>
      </c>
      <c r="AA180" s="10">
        <v>17398</v>
      </c>
      <c r="AB180" s="10">
        <v>36</v>
      </c>
      <c r="AC180" s="10">
        <f>36003+79422+55435</f>
        <v>170860</v>
      </c>
      <c r="AD180" s="10">
        <v>13580</v>
      </c>
      <c r="AE180" s="10">
        <v>0</v>
      </c>
      <c r="AF180" s="10">
        <v>55672</v>
      </c>
      <c r="AG180" s="10">
        <v>0</v>
      </c>
      <c r="AH180" s="10">
        <v>1935336</v>
      </c>
      <c r="AI180" s="10">
        <v>1969954</v>
      </c>
      <c r="AJ180" s="23">
        <f t="shared" si="15"/>
        <v>0</v>
      </c>
      <c r="AK180" s="10">
        <v>295472</v>
      </c>
      <c r="AL180" s="10">
        <v>0</v>
      </c>
      <c r="AM180" s="10">
        <v>126429</v>
      </c>
      <c r="AN180" s="10">
        <v>0</v>
      </c>
      <c r="AO180" s="10">
        <v>282473</v>
      </c>
      <c r="AP180" s="10">
        <v>0</v>
      </c>
      <c r="AQ180" s="10">
        <v>0</v>
      </c>
      <c r="AR180" s="10">
        <v>0</v>
      </c>
      <c r="AS180" s="10">
        <v>18415</v>
      </c>
      <c r="AT180" s="10">
        <v>10847</v>
      </c>
      <c r="AU180" s="10">
        <v>-801</v>
      </c>
      <c r="AV180" s="10">
        <v>-6605</v>
      </c>
      <c r="AW180" s="10">
        <v>-2587</v>
      </c>
      <c r="AX180" s="10">
        <v>-3</v>
      </c>
      <c r="AY180" s="10">
        <f t="shared" si="13"/>
        <v>19266</v>
      </c>
      <c r="AZ180" s="1">
        <v>4</v>
      </c>
      <c r="BA180" s="1" t="s">
        <v>405</v>
      </c>
      <c r="BB180" s="1" t="s">
        <v>405</v>
      </c>
      <c r="BC180" s="1" t="s">
        <v>405</v>
      </c>
      <c r="BD180" s="1" t="s">
        <v>405</v>
      </c>
    </row>
    <row r="181" spans="1:56" x14ac:dyDescent="0.25">
      <c r="A181" s="1">
        <v>21</v>
      </c>
      <c r="B181" s="1" t="s">
        <v>626</v>
      </c>
      <c r="C181" s="1" t="s">
        <v>329</v>
      </c>
      <c r="D181" s="1" t="s">
        <v>642</v>
      </c>
      <c r="E181" s="1" t="s">
        <v>215</v>
      </c>
      <c r="F181" s="7" t="s">
        <v>382</v>
      </c>
      <c r="G181" s="7" t="s">
        <v>217</v>
      </c>
      <c r="H181" s="10">
        <v>16565490</v>
      </c>
      <c r="I181" s="10">
        <v>336296</v>
      </c>
      <c r="J181" s="10">
        <v>11067690</v>
      </c>
      <c r="K181" s="10">
        <v>694848</v>
      </c>
      <c r="L181" s="10">
        <v>1053433</v>
      </c>
      <c r="M181" s="10">
        <v>247816</v>
      </c>
      <c r="N181" s="10">
        <v>115183</v>
      </c>
      <c r="O181" s="10">
        <v>13612660</v>
      </c>
      <c r="P181" s="23">
        <v>0.24</v>
      </c>
      <c r="Q181" s="10">
        <v>0</v>
      </c>
      <c r="R181" s="27">
        <f>400253/10817641</f>
        <v>3.7000026160971693E-2</v>
      </c>
      <c r="S181" s="10">
        <v>399806</v>
      </c>
      <c r="T181" s="10">
        <v>0</v>
      </c>
      <c r="U181" s="10">
        <f>14356+1071+1038</f>
        <v>16465</v>
      </c>
      <c r="V181" s="10">
        <v>204412</v>
      </c>
      <c r="W181" s="10">
        <v>15551</v>
      </c>
      <c r="X181" s="10">
        <v>21397</v>
      </c>
      <c r="Y181" s="10">
        <v>32937</v>
      </c>
      <c r="Z181" s="10">
        <v>1175</v>
      </c>
      <c r="AA181" s="10">
        <v>19024</v>
      </c>
      <c r="AB181" s="10">
        <v>0</v>
      </c>
      <c r="AC181" s="10">
        <f>6664+14389+11768</f>
        <v>32821</v>
      </c>
      <c r="AD181" s="10">
        <v>4859</v>
      </c>
      <c r="AE181" s="10">
        <v>1831</v>
      </c>
      <c r="AF181" s="10">
        <v>30961</v>
      </c>
      <c r="AG181" s="10">
        <v>0</v>
      </c>
      <c r="AH181" s="10">
        <v>380303</v>
      </c>
      <c r="AI181" s="10">
        <v>370966</v>
      </c>
      <c r="AJ181" s="23">
        <f t="shared" si="15"/>
        <v>0</v>
      </c>
      <c r="AK181" s="10">
        <v>30272</v>
      </c>
      <c r="AL181" s="10">
        <v>0</v>
      </c>
      <c r="AM181" s="10">
        <v>126473</v>
      </c>
      <c r="AN181" s="10">
        <v>0</v>
      </c>
      <c r="AO181" s="10">
        <v>53727</v>
      </c>
      <c r="AP181" s="10">
        <v>0</v>
      </c>
      <c r="AQ181" s="10">
        <v>0</v>
      </c>
      <c r="AR181" s="10">
        <v>0</v>
      </c>
      <c r="AS181" s="10">
        <v>1394</v>
      </c>
      <c r="AT181" s="10">
        <v>1590</v>
      </c>
      <c r="AU181" s="10">
        <v>-159</v>
      </c>
      <c r="AV181" s="10">
        <v>-592</v>
      </c>
      <c r="AW181" s="10">
        <v>-50</v>
      </c>
      <c r="AX181" s="10">
        <f>1+33</f>
        <v>34</v>
      </c>
      <c r="AY181" s="10">
        <f t="shared" si="13"/>
        <v>2217</v>
      </c>
      <c r="AZ181" s="1">
        <v>0</v>
      </c>
      <c r="BA181" s="1">
        <v>37</v>
      </c>
      <c r="BB181" s="1">
        <v>2</v>
      </c>
      <c r="BC181" s="1">
        <v>5</v>
      </c>
      <c r="BD181" s="1">
        <v>0</v>
      </c>
    </row>
    <row r="182" spans="1:56" x14ac:dyDescent="0.25">
      <c r="A182" s="1">
        <v>21</v>
      </c>
      <c r="B182" s="1" t="s">
        <v>628</v>
      </c>
      <c r="C182" s="7" t="s">
        <v>507</v>
      </c>
      <c r="D182" s="1" t="s">
        <v>248</v>
      </c>
      <c r="E182" s="1" t="s">
        <v>215</v>
      </c>
      <c r="F182" s="7" t="s">
        <v>557</v>
      </c>
      <c r="G182" s="7" t="s">
        <v>217</v>
      </c>
      <c r="H182" s="10">
        <v>22988016</v>
      </c>
      <c r="I182" s="10">
        <v>636140</v>
      </c>
      <c r="J182" s="10">
        <v>16574626</v>
      </c>
      <c r="K182" s="10">
        <v>896418</v>
      </c>
      <c r="L182" s="10">
        <v>1471167</v>
      </c>
      <c r="M182" s="10">
        <v>1362300</v>
      </c>
      <c r="N182" s="10">
        <v>16751</v>
      </c>
      <c r="O182" s="10">
        <v>21096808</v>
      </c>
      <c r="P182" s="23">
        <v>0.14000000000000001</v>
      </c>
      <c r="Q182" s="10">
        <v>0</v>
      </c>
      <c r="R182" s="27">
        <f>773283/21080057</f>
        <v>3.668315507875524E-2</v>
      </c>
      <c r="S182" s="10">
        <v>773283</v>
      </c>
      <c r="T182" s="10">
        <v>0</v>
      </c>
      <c r="U182" s="10">
        <f>65547+4584+1668</f>
        <v>71799</v>
      </c>
      <c r="V182" s="10">
        <v>413490</v>
      </c>
      <c r="W182" s="10">
        <v>34949</v>
      </c>
      <c r="X182" s="10">
        <v>66857</v>
      </c>
      <c r="Y182" s="10">
        <v>52254</v>
      </c>
      <c r="Z182" s="10">
        <v>2545</v>
      </c>
      <c r="AA182" s="10">
        <v>20093</v>
      </c>
      <c r="AB182" s="10">
        <v>440</v>
      </c>
      <c r="AC182" s="10">
        <f>17388+21197+24021</f>
        <v>62606</v>
      </c>
      <c r="AD182" s="10">
        <v>15386</v>
      </c>
      <c r="AE182" s="10">
        <v>334</v>
      </c>
      <c r="AF182" s="10">
        <v>21095</v>
      </c>
      <c r="AG182" s="10">
        <v>0</v>
      </c>
      <c r="AH182" s="10">
        <v>735526</v>
      </c>
      <c r="AI182" s="10">
        <v>751929</v>
      </c>
      <c r="AJ182" s="23">
        <f t="shared" si="15"/>
        <v>0</v>
      </c>
      <c r="AK182" s="10">
        <v>85658</v>
      </c>
      <c r="AL182" s="10">
        <v>0</v>
      </c>
      <c r="AM182" s="10">
        <v>136425</v>
      </c>
      <c r="AN182" s="10">
        <v>9952</v>
      </c>
      <c r="AO182" s="10">
        <v>75538</v>
      </c>
      <c r="AP182" s="10">
        <v>0</v>
      </c>
      <c r="AQ182" s="10">
        <v>0</v>
      </c>
      <c r="AR182" s="10">
        <v>0</v>
      </c>
      <c r="AS182" s="10">
        <v>2303</v>
      </c>
      <c r="AT182" s="10">
        <v>2838</v>
      </c>
      <c r="AU182" s="10">
        <v>-189</v>
      </c>
      <c r="AV182" s="10">
        <v>-1368</v>
      </c>
      <c r="AW182" s="10">
        <v>-114</v>
      </c>
      <c r="AX182" s="10">
        <v>44</v>
      </c>
      <c r="AY182" s="10">
        <f t="shared" si="13"/>
        <v>3514</v>
      </c>
      <c r="AZ182" s="1">
        <v>0</v>
      </c>
      <c r="BA182" s="1">
        <v>24</v>
      </c>
      <c r="BB182" s="1">
        <v>7</v>
      </c>
      <c r="BC182" s="1">
        <v>67</v>
      </c>
      <c r="BD182" s="1">
        <v>16</v>
      </c>
    </row>
    <row r="183" spans="1:56" x14ac:dyDescent="0.25">
      <c r="P183" s="24"/>
      <c r="R183" s="28"/>
      <c r="AJ183" s="28"/>
    </row>
    <row r="184" spans="1:56" x14ac:dyDescent="0.25">
      <c r="D184" s="3" t="s">
        <v>432</v>
      </c>
    </row>
    <row r="186" spans="1:56" x14ac:dyDescent="0.25">
      <c r="D186" s="12"/>
    </row>
    <row r="187" spans="1:56" x14ac:dyDescent="0.25">
      <c r="P187" s="24"/>
      <c r="R187" s="28"/>
      <c r="AJ187" s="28"/>
    </row>
    <row r="189" spans="1:56" x14ac:dyDescent="0.25">
      <c r="D189" s="9"/>
      <c r="P189" s="24"/>
      <c r="R189" s="28"/>
      <c r="AJ189" s="31"/>
    </row>
    <row r="190" spans="1:56" x14ac:dyDescent="0.25">
      <c r="P190" s="24"/>
      <c r="R190" s="28"/>
      <c r="AJ190" s="31"/>
    </row>
    <row r="191" spans="1:56" x14ac:dyDescent="0.25">
      <c r="P191" s="24"/>
      <c r="R191" s="28"/>
      <c r="AJ191" s="31"/>
    </row>
    <row r="192" spans="1:56" x14ac:dyDescent="0.25">
      <c r="P192" s="24"/>
      <c r="R192" s="28"/>
    </row>
    <row r="193" spans="16:18" x14ac:dyDescent="0.25">
      <c r="P193" s="24"/>
      <c r="R193" s="28"/>
    </row>
  </sheetData>
  <pageMargins left="0.75" right="0.75" top="1" bottom="1" header="0.5" footer="0.5"/>
  <headerFooter>
    <oddHeader>&amp;L&amp;"Arial"&amp;10CHAPTER 13 STANDING TRUSTEE FY97 AUDITED ANNUAL REPORTS</oddHeader>
    <oddFooter>&amp;L&amp;"Arial"&amp;8&amp;D
S:\REVIEW AND OVERSIGHT\CH13\1997\AR97CH13.WB3</oddFooter>
  </headerFooter>
  <rowBreaks count="1" manualBreakCount="1">
    <brk id="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/>
  </sheetViews>
  <sheetFormatPr defaultColWidth="8" defaultRowHeight="15" x14ac:dyDescent="0.25"/>
  <sheetData>
    <row r="1" spans="1:2" x14ac:dyDescent="0.25">
      <c r="A1" t="s">
        <v>11</v>
      </c>
      <c r="B1" t="s">
        <v>12</v>
      </c>
    </row>
  </sheetData>
  <pageMargins left="0.75" right="0.75" top="1" bottom="1" header="0.5" footer="0.5"/>
  <headerFooter>
    <oddHeader>&amp;L&amp;"Arial"&amp;10CHAPTER 13 STANDING TRUSTEE FY97 AUDITED ANNUAL REPORTS</oddHeader>
    <oddFooter>&amp;L&amp;"Arial"&amp;8&amp;D
S:\REVIEW AND OVERSIGHT\CH13\1997\AR97CH13.WB3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37</vt:i4>
      </vt:variant>
    </vt:vector>
  </HeadingPairs>
  <TitlesOfParts>
    <vt:vector size="39" baseType="lpstr">
      <vt:lpstr>A</vt:lpstr>
      <vt:lpstr>B</vt:lpstr>
      <vt:lpstr>_AUD13</vt:lpstr>
      <vt:lpstr>_EXP13</vt:lpstr>
      <vt:lpstr>_EXP2</vt:lpstr>
      <vt:lpstr>_EXP8</vt:lpstr>
      <vt:lpstr>_LO2</vt:lpstr>
      <vt:lpstr>_NBSTARTMACRO</vt:lpstr>
      <vt:lpstr>_REG12</vt:lpstr>
      <vt:lpstr>_REG13</vt:lpstr>
      <vt:lpstr>_REG17</vt:lpstr>
      <vt:lpstr>ALLOC2</vt:lpstr>
      <vt:lpstr>ALLOC8</vt:lpstr>
      <vt:lpstr>AUDIT</vt:lpstr>
      <vt:lpstr>AUDIT8</vt:lpstr>
      <vt:lpstr>BU</vt:lpstr>
      <vt:lpstr>CASH</vt:lpstr>
      <vt:lpstr>CASH13</vt:lpstr>
      <vt:lpstr>CASH2</vt:lpstr>
      <vt:lpstr>CASH8</vt:lpstr>
      <vt:lpstr>DATA</vt:lpstr>
      <vt:lpstr>DISB</vt:lpstr>
      <vt:lpstr>DISB13</vt:lpstr>
      <vt:lpstr>DISB8</vt:lpstr>
      <vt:lpstr>DISBTOT8</vt:lpstr>
      <vt:lpstr>ELEVEN</vt:lpstr>
      <vt:lpstr>EN</vt:lpstr>
      <vt:lpstr>EXP</vt:lpstr>
      <vt:lpstr>LO</vt:lpstr>
      <vt:lpstr>NAMES</vt:lpstr>
      <vt:lpstr>NINE</vt:lpstr>
      <vt:lpstr>A!Print_Titles</vt:lpstr>
      <vt:lpstr>B!Print_Titles</vt:lpstr>
      <vt:lpstr>RATIO</vt:lpstr>
      <vt:lpstr>SUMDISB</vt:lpstr>
      <vt:lpstr>SUMEXP</vt:lpstr>
      <vt:lpstr>SUMRATIO</vt:lpstr>
      <vt:lpstr>THIRTEEN</vt:lpstr>
      <vt:lpstr>TOTDISB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Finan, Debra  (USTP)</dc:creator>
  <cp:lastModifiedBy>US Trustee Program</cp:lastModifiedBy>
  <dcterms:created xsi:type="dcterms:W3CDTF">2012-08-29T17:00:05Z</dcterms:created>
  <dcterms:modified xsi:type="dcterms:W3CDTF">2012-08-29T17:01:59Z</dcterms:modified>
</cp:coreProperties>
</file>