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36" windowHeight="8568"/>
  </bookViews>
  <sheets>
    <sheet name="A" sheetId="1" r:id="rId1"/>
  </sheets>
  <definedNames>
    <definedName name="_EXP13">A!$AI$33:$AJ$40</definedName>
    <definedName name="_EXP2">A!$AI$33:$AJ$33</definedName>
    <definedName name="_MT13">A!$P$33:$P$40</definedName>
    <definedName name="_MTH2">A!$P$33:$P$33</definedName>
    <definedName name="DISB">A!$K$32:$O$32</definedName>
    <definedName name="DISB2">A!$K$33:$O$33</definedName>
    <definedName name="EXP">A!$AI$32:$AJ$32</definedName>
    <definedName name="MTH">A!$P$32:$P$32</definedName>
    <definedName name="_xlnm.Print_Titles" localSheetId="0">A!$3:$11</definedName>
  </definedNames>
  <calcPr calcId="145621" iterate="1" iterateDelta="0.01" concurrentCalc="0"/>
</workbook>
</file>

<file path=xl/calcChain.xml><?xml version="1.0" encoding="utf-8"?>
<calcChain xmlns="http://schemas.openxmlformats.org/spreadsheetml/2006/main">
  <c r="AK22" i="1" l="1"/>
  <c r="AE45" i="1"/>
  <c r="W45" i="1"/>
  <c r="T45" i="1"/>
  <c r="Q45" i="1"/>
  <c r="AE47" i="1"/>
  <c r="W47" i="1"/>
  <c r="T47" i="1"/>
  <c r="Q47" i="1"/>
  <c r="Q44" i="1"/>
  <c r="Q43" i="1"/>
  <c r="R42" i="1"/>
  <c r="R41" i="1"/>
  <c r="Q41" i="1"/>
  <c r="S39" i="1"/>
  <c r="R39" i="1"/>
  <c r="Q39" i="1"/>
  <c r="R38" i="1"/>
  <c r="Q38" i="1"/>
  <c r="S37" i="1"/>
  <c r="Q37" i="1"/>
  <c r="R35" i="1"/>
  <c r="Q35" i="1"/>
  <c r="R34" i="1"/>
  <c r="Q34" i="1"/>
  <c r="Q33" i="1"/>
  <c r="Q32" i="1"/>
  <c r="R31" i="1"/>
  <c r="Q29" i="1"/>
  <c r="Q27" i="1"/>
  <c r="Q26" i="1"/>
  <c r="Q25" i="1"/>
  <c r="Q24" i="1"/>
  <c r="Q23" i="1"/>
  <c r="Q21" i="1"/>
  <c r="Q17" i="1"/>
  <c r="Q14" i="1"/>
  <c r="R13" i="1"/>
  <c r="Q13" i="1"/>
  <c r="T16" i="1"/>
  <c r="R16" i="1"/>
  <c r="Q16" i="1"/>
  <c r="AE15" i="1"/>
  <c r="W15" i="1"/>
  <c r="T15" i="1"/>
  <c r="Q1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BA21" i="1"/>
  <c r="AK21" i="1"/>
  <c r="BA17" i="1"/>
  <c r="AK17" i="1"/>
  <c r="BA45" i="1"/>
  <c r="AK45" i="1"/>
  <c r="AK50" i="1"/>
  <c r="AK49" i="1"/>
  <c r="AK48" i="1"/>
  <c r="AK47" i="1"/>
  <c r="AK46" i="1"/>
  <c r="AK20" i="1"/>
  <c r="AK19" i="1"/>
  <c r="AK18" i="1"/>
  <c r="AK16" i="1"/>
  <c r="AK15" i="1"/>
  <c r="AK14" i="1"/>
  <c r="AK13" i="1"/>
  <c r="AK12" i="1"/>
  <c r="AO10" i="1"/>
  <c r="AO9" i="1"/>
  <c r="BA50" i="1"/>
  <c r="BA49" i="1"/>
  <c r="BA48" i="1"/>
  <c r="BA46" i="1"/>
  <c r="BA20" i="1"/>
  <c r="BA19" i="1"/>
  <c r="BA18" i="1"/>
  <c r="BA16" i="1"/>
  <c r="BA15" i="1"/>
  <c r="BA14" i="1"/>
  <c r="BA13" i="1"/>
  <c r="Q9" i="1"/>
  <c r="Q10" i="1"/>
  <c r="S10" i="1"/>
  <c r="R10" i="1"/>
  <c r="S9" i="1"/>
  <c r="R9" i="1"/>
  <c r="AE10" i="1"/>
  <c r="W10" i="1"/>
  <c r="BA12" i="1"/>
  <c r="AT9" i="1"/>
  <c r="H9" i="1"/>
  <c r="I9" i="1"/>
  <c r="J9" i="1"/>
  <c r="K9" i="1"/>
  <c r="L9" i="1"/>
  <c r="M9" i="1"/>
  <c r="N9" i="1"/>
  <c r="O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L9" i="1"/>
  <c r="AM9" i="1"/>
  <c r="AN9" i="1"/>
  <c r="AP9" i="1"/>
  <c r="AQ9" i="1"/>
  <c r="AR9" i="1"/>
  <c r="AS9" i="1"/>
  <c r="AU9" i="1"/>
  <c r="AV9" i="1"/>
  <c r="AW9" i="1"/>
  <c r="AX9" i="1"/>
  <c r="AY9" i="1"/>
  <c r="AZ9" i="1"/>
  <c r="BB9" i="1"/>
  <c r="BC9" i="1"/>
  <c r="BD9" i="1"/>
  <c r="BE9" i="1"/>
  <c r="BF9" i="1"/>
  <c r="BG9" i="1"/>
  <c r="H10" i="1"/>
  <c r="I10" i="1"/>
  <c r="J10" i="1"/>
  <c r="K10" i="1"/>
  <c r="L10" i="1"/>
  <c r="M10" i="1"/>
  <c r="N10" i="1"/>
  <c r="O10" i="1"/>
  <c r="P10" i="1"/>
  <c r="T10" i="1"/>
  <c r="U10" i="1"/>
  <c r="V10" i="1"/>
  <c r="X10" i="1"/>
  <c r="Y10" i="1"/>
  <c r="Z10" i="1"/>
  <c r="AA10" i="1"/>
  <c r="AB10" i="1"/>
  <c r="AC10" i="1"/>
  <c r="AD10" i="1"/>
  <c r="AF10" i="1"/>
  <c r="AG10" i="1"/>
  <c r="AH10" i="1"/>
  <c r="AI10" i="1"/>
  <c r="AJ10" i="1"/>
  <c r="AL10" i="1"/>
  <c r="AM10" i="1"/>
  <c r="AN10" i="1"/>
  <c r="AP10" i="1"/>
  <c r="AQ10" i="1"/>
  <c r="AR10" i="1"/>
  <c r="AS10" i="1"/>
  <c r="AT10" i="1"/>
  <c r="AU10" i="1"/>
  <c r="AV10" i="1"/>
  <c r="AW10" i="1"/>
  <c r="AX10" i="1"/>
  <c r="AY10" i="1"/>
  <c r="AZ10" i="1"/>
  <c r="BB10" i="1"/>
  <c r="BC10" i="1"/>
  <c r="BD10" i="1"/>
  <c r="BE10" i="1"/>
  <c r="BF10" i="1"/>
  <c r="BG10" i="1"/>
  <c r="BA10" i="1"/>
  <c r="BA9" i="1"/>
  <c r="AK10" i="1"/>
</calcChain>
</file>

<file path=xl/sharedStrings.xml><?xml version="1.0" encoding="utf-8"?>
<sst xmlns="http://schemas.openxmlformats.org/spreadsheetml/2006/main" count="327" uniqueCount="261">
  <si>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</si>
  <si>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</si>
  <si>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</si>
  <si>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</si>
  <si>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</si>
  <si>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</si>
  <si>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</si>
  <si>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</si>
  <si>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</si>
  <si>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</si>
  <si>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</si>
  <si>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</si>
  <si>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</si>
  <si>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</si>
  <si>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</si>
  <si>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ADJUSTMENTS</t>
  </si>
  <si>
    <t>APPT.</t>
  </si>
  <si>
    <t>AR</t>
  </si>
  <si>
    <t>ARTHUR</t>
  </si>
  <si>
    <t>ATTORNEYS</t>
  </si>
  <si>
    <t>AVG % FEE</t>
  </si>
  <si>
    <t>BALANCE</t>
  </si>
  <si>
    <t>BEFORE</t>
  </si>
  <si>
    <t>BENEFITS</t>
  </si>
  <si>
    <t>BOOKKEEPING</t>
  </si>
  <si>
    <t>CA</t>
  </si>
  <si>
    <t>CAROL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</si>
  <si>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</si>
  <si>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</si>
  <si>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</si>
  <si>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</si>
  <si>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</si>
  <si>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</si>
  <si>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</si>
  <si>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</si>
  <si>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</si>
  <si>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</si>
  <si>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</si>
  <si>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</si>
  <si>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</si>
  <si>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DEBTOR</t>
  </si>
  <si>
    <t>DEFICIT</t>
  </si>
  <si>
    <t>DISBURS</t>
  </si>
  <si>
    <t>DISBURSE.</t>
  </si>
  <si>
    <t>DISCHARGE</t>
  </si>
  <si>
    <t>DISMISS.</t>
  </si>
  <si>
    <t>DISTRICT</t>
  </si>
  <si>
    <t>EDWARD</t>
  </si>
  <si>
    <t>EMPLOYER'S</t>
  </si>
  <si>
    <t>ENDING</t>
  </si>
  <si>
    <t>EQUIP/</t>
  </si>
  <si>
    <t>ERIC</t>
  </si>
  <si>
    <t>EXCESS</t>
  </si>
  <si>
    <t xml:space="preserve">EXP. FUND </t>
  </si>
  <si>
    <t>EXPENSES</t>
  </si>
  <si>
    <t>FILED</t>
  </si>
  <si>
    <t xml:space="preserve">FIRST NAME </t>
  </si>
  <si>
    <t>FL</t>
  </si>
  <si>
    <t>FL AND GA</t>
  </si>
  <si>
    <t>FORREST</t>
  </si>
  <si>
    <t>FRANK</t>
  </si>
  <si>
    <t>FURN</t>
  </si>
  <si>
    <t>G. RAY</t>
  </si>
  <si>
    <t>GA</t>
  </si>
  <si>
    <t>GROSS</t>
  </si>
  <si>
    <t>HARDSHIP</t>
  </si>
  <si>
    <t>HAROLD</t>
  </si>
  <si>
    <t>HELD</t>
  </si>
  <si>
    <t>HENRY</t>
  </si>
  <si>
    <t>IA</t>
  </si>
  <si>
    <t>ID</t>
  </si>
  <si>
    <t>IL</t>
  </si>
  <si>
    <t>IN</t>
  </si>
  <si>
    <t>INTEREST</t>
  </si>
  <si>
    <t>JAMES</t>
  </si>
  <si>
    <t>JAN</t>
  </si>
  <si>
    <t>JOSEPH</t>
  </si>
  <si>
    <t>KS</t>
  </si>
  <si>
    <t>LA</t>
  </si>
  <si>
    <t>LAST NAME</t>
  </si>
  <si>
    <t>LONNIE</t>
  </si>
  <si>
    <t>M. NELSON</t>
  </si>
  <si>
    <t>MARK</t>
  </si>
  <si>
    <t>MERLE</t>
  </si>
  <si>
    <t>MI</t>
  </si>
  <si>
    <t>MICHAEL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</si>
  <si>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</si>
  <si>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</si>
  <si>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</si>
  <si>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</si>
  <si>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</si>
  <si>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</si>
  <si>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</si>
  <si>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</si>
  <si>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</si>
  <si>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</si>
  <si>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OH</t>
  </si>
  <si>
    <t>OK</t>
  </si>
  <si>
    <t>OPER.</t>
  </si>
  <si>
    <t>OTHER</t>
  </si>
  <si>
    <t>PAUL</t>
  </si>
  <si>
    <t>PAYABLE</t>
  </si>
  <si>
    <t>PAYMENTS</t>
  </si>
  <si>
    <t>PLAN</t>
  </si>
  <si>
    <t>POSTAGE/</t>
  </si>
  <si>
    <t>PR AND VI</t>
  </si>
  <si>
    <t>PRIORITY</t>
  </si>
  <si>
    <t>PURCHASE</t>
  </si>
  <si>
    <t>RANDALL</t>
  </si>
  <si>
    <t>REC.</t>
  </si>
  <si>
    <t>RECEIPTS</t>
  </si>
  <si>
    <t>REFUNDS</t>
  </si>
  <si>
    <t xml:space="preserve">REG </t>
  </si>
  <si>
    <t>RELATE</t>
  </si>
  <si>
    <t>RELATED</t>
  </si>
  <si>
    <t>RENEE</t>
  </si>
  <si>
    <t>RENT AND</t>
  </si>
  <si>
    <t>RENTAL</t>
  </si>
  <si>
    <t>ROBERT</t>
  </si>
  <si>
    <t>SALARIES</t>
  </si>
  <si>
    <t>SECURED</t>
  </si>
  <si>
    <t>SERVICES</t>
  </si>
  <si>
    <t>STATE</t>
  </si>
  <si>
    <t>SULTING</t>
  </si>
  <si>
    <t>SUPPLIES</t>
  </si>
  <si>
    <t>TELEPH/</t>
  </si>
  <si>
    <t>THOMAS</t>
  </si>
  <si>
    <t>TN</t>
  </si>
  <si>
    <t>TO ANTHR.</t>
  </si>
  <si>
    <t>TO USTP</t>
  </si>
  <si>
    <t>TOTAL</t>
  </si>
  <si>
    <t>TRAINING</t>
  </si>
  <si>
    <t>TRANSFERRED</t>
  </si>
  <si>
    <t>TRUST FUND</t>
  </si>
  <si>
    <t>TRUSTEE</t>
  </si>
  <si>
    <t>TX</t>
  </si>
  <si>
    <t>UNSEC. CLAIMS</t>
  </si>
  <si>
    <t>UNSEC'D</t>
  </si>
  <si>
    <t>UTILS</t>
  </si>
  <si>
    <t>VT</t>
  </si>
  <si>
    <t>WALTER</t>
  </si>
  <si>
    <t>WI</t>
  </si>
  <si>
    <t>DAVID</t>
  </si>
  <si>
    <t>J. FORD</t>
  </si>
  <si>
    <t>NANCY</t>
  </si>
  <si>
    <t>JOSE</t>
  </si>
  <si>
    <t>JON</t>
  </si>
  <si>
    <t>VIRGINIA</t>
  </si>
  <si>
    <t>OR/WA</t>
  </si>
  <si>
    <t>TOTAL DISBURSEMENTS</t>
  </si>
  <si>
    <t>NON-FEE DISBURSEMENTS</t>
  </si>
  <si>
    <t>DISBURSEMENTS under $450,000</t>
  </si>
  <si>
    <t>DISBURSEMENTS over $450,000</t>
  </si>
  <si>
    <t>Sensenich</t>
  </si>
  <si>
    <t>Swimelar</t>
  </si>
  <si>
    <t>Barkley, Jr.</t>
  </si>
  <si>
    <t>Hendren</t>
  </si>
  <si>
    <t>McGinnes</t>
  </si>
  <si>
    <t>Viegelahn</t>
  </si>
  <si>
    <t>Hildebrand</t>
  </si>
  <si>
    <t>Chrystler</t>
  </si>
  <si>
    <t>McDonald</t>
  </si>
  <si>
    <t>Pees</t>
  </si>
  <si>
    <t>Black</t>
  </si>
  <si>
    <t>Chael</t>
  </si>
  <si>
    <t>Clark</t>
  </si>
  <si>
    <t>Kearney</t>
  </si>
  <si>
    <t>Grossman</t>
  </si>
  <si>
    <t>Dunbar</t>
  </si>
  <si>
    <t>Overcash</t>
  </si>
  <si>
    <t>Williams</t>
  </si>
  <si>
    <t>Burchard</t>
  </si>
  <si>
    <t>Enmark</t>
  </si>
  <si>
    <t>Johnson</t>
  </si>
  <si>
    <t>Burdette</t>
  </si>
  <si>
    <t>Elsaesser</t>
  </si>
  <si>
    <t>Hymas</t>
  </si>
  <si>
    <t>Eck</t>
  </si>
  <si>
    <t>Nazar</t>
  </si>
  <si>
    <t>Rajala</t>
  </si>
  <si>
    <t>Carrion</t>
  </si>
  <si>
    <t>Kelley</t>
  </si>
  <si>
    <t>Waage</t>
  </si>
  <si>
    <t>Wallace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</si>
  <si>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</si>
  <si>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</si>
  <si>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</si>
  <si>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</si>
  <si>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</si>
  <si>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</si>
  <si>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</si>
  <si>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West./Middle/East.</t>
  </si>
  <si>
    <t>Plano</t>
  </si>
  <si>
    <t>Northern/Eastern</t>
  </si>
  <si>
    <t>Lubbock</t>
  </si>
  <si>
    <t>Austin</t>
  </si>
  <si>
    <t>Western</t>
  </si>
  <si>
    <t>Moody</t>
  </si>
  <si>
    <t>Southern/Western</t>
  </si>
  <si>
    <t>San Antonio</t>
  </si>
  <si>
    <t>Nashville</t>
  </si>
  <si>
    <t>Middle</t>
  </si>
  <si>
    <t>Chattanooga</t>
  </si>
  <si>
    <t>Eastern</t>
  </si>
  <si>
    <t>Portage</t>
  </si>
  <si>
    <t>Saginaw</t>
  </si>
  <si>
    <t>Worthington</t>
  </si>
  <si>
    <t>Southern</t>
  </si>
  <si>
    <t>Seymour</t>
  </si>
  <si>
    <t>Merrillville</t>
  </si>
  <si>
    <t>Peoria</t>
  </si>
  <si>
    <t>Central</t>
  </si>
  <si>
    <t>Benton</t>
  </si>
  <si>
    <t>Milwaukee</t>
  </si>
  <si>
    <t>Madison</t>
  </si>
  <si>
    <t>Waterloo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</si>
  <si>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</si>
  <si>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</si>
  <si>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</si>
  <si>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</si>
  <si>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</si>
  <si>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</si>
  <si>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</si>
  <si>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Sacramento</t>
  </si>
  <si>
    <t>Seattle</t>
  </si>
  <si>
    <t>Sandpoint</t>
  </si>
  <si>
    <t>Hailey</t>
  </si>
  <si>
    <t>Tulsa</t>
  </si>
  <si>
    <t>Wichita</t>
  </si>
  <si>
    <t>Overland Park</t>
  </si>
  <si>
    <t>San Juan</t>
  </si>
  <si>
    <t>Albany</t>
  </si>
  <si>
    <t>Northern/Middle</t>
  </si>
  <si>
    <t>Barndenton</t>
  </si>
  <si>
    <t>Augusta</t>
  </si>
  <si>
    <t>Atlanta</t>
  </si>
  <si>
    <t>delete for FY14</t>
  </si>
  <si>
    <t>St. Joseph</t>
  </si>
  <si>
    <t>Harring</t>
  </si>
  <si>
    <t>Meyer</t>
  </si>
  <si>
    <t>APPROVED</t>
  </si>
  <si>
    <t xml:space="preserve"> FROM PRIOR YR</t>
  </si>
  <si>
    <t>CARRYOVER COMP'N</t>
  </si>
  <si>
    <t>CA &amp; NV</t>
  </si>
  <si>
    <t>CHAPTER  12  STANDING TRUSTEE FY15 ANNUAL REPORTS</t>
  </si>
  <si>
    <t>Kloiber</t>
  </si>
  <si>
    <t>MARY</t>
  </si>
  <si>
    <t>KARA</t>
  </si>
  <si>
    <t>JANNA</t>
  </si>
  <si>
    <t>BRAD</t>
  </si>
  <si>
    <t>LOOKUP</t>
  </si>
  <si>
    <t>START 15</t>
  </si>
  <si>
    <t>END 15</t>
  </si>
  <si>
    <t>LORI</t>
  </si>
  <si>
    <t>Waters (7 mos.)</t>
  </si>
  <si>
    <t>Countryman (7 mos.)</t>
  </si>
  <si>
    <t>Norman</t>
  </si>
  <si>
    <t>ACTUAL FY15</t>
  </si>
  <si>
    <t>Williams-DeKalb (3 mos.)</t>
  </si>
  <si>
    <t>Still/West</t>
  </si>
  <si>
    <t>1/27/2016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</si>
</sst>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</numFmts>
  <fonts count="1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indexed="8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0"/>
      </patternFill>
    </fill>
  </fills>
  <borders count="2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3" fillId="0" borderId="0"/>
    <xf numFmtId="0" fontId="8" fillId="0" borderId="0"/>
    <xf numFmtId="0" fontId="8" fillId="0" borderId="0"/>
    <xf numFmtId="0" fontId="1" fillId="0" borderId="0"/>
    <xf numFmtId="44" fontId="1" fillId="0" borderId="0" applyFont="0" applyFill="0" applyBorder="0" applyAlignment="0" applyProtection="0"/>
  </cellStyleXfs>
  <cellXfs count="156">
    <xf numFmtId="3" fontId="0" fillId="2" borderId="0" xfId="0" applyNumberFormat="1" applyFill="1"/>
    <xf numFmtId="0" fontId="6" fillId="2" borderId="1" xfId="0" applyFont="1" applyFill="1" applyBorder="1"/>
    <xf numFmtId="3" fontId="4" fillId="2" borderId="0" xfId="0" applyNumberFormat="1" applyFont="1" applyFill="1"/>
    <xf numFmtId="3" fontId="6" fillId="2" borderId="1" xfId="0" applyNumberFormat="1" applyFont="1" applyFill="1" applyBorder="1"/>
    <xf numFmtId="0" fontId="4" fillId="2" borderId="1" xfId="0" applyFont="1" applyFill="1" applyBorder="1"/>
    <xf numFmtId="166" fontId="6" fillId="2" borderId="1" xfId="0" applyNumberFormat="1" applyFont="1" applyFill="1" applyBorder="1"/>
    <xf numFmtId="10" fontId="6" fillId="2" borderId="1" xfId="0" applyNumberFormat="1" applyFont="1" applyFill="1" applyBorder="1"/>
    <xf numFmtId="167" fontId="6" fillId="2" borderId="1" xfId="0" applyNumberFormat="1" applyFont="1" applyFill="1" applyBorder="1"/>
    <xf numFmtId="0" fontId="4" fillId="2" borderId="3" xfId="0" applyFont="1" applyFill="1" applyBorder="1"/>
    <xf numFmtId="166" fontId="4" fillId="2" borderId="0" xfId="0" applyNumberFormat="1" applyFont="1" applyFill="1"/>
    <xf numFmtId="10" fontId="4" fillId="2" borderId="0" xfId="0" applyNumberFormat="1" applyFont="1" applyFill="1"/>
    <xf numFmtId="0" fontId="6" fillId="2" borderId="6" xfId="0" applyFont="1" applyFill="1" applyBorder="1"/>
    <xf numFmtId="0" fontId="6" fillId="2" borderId="7" xfId="0" applyFont="1" applyFill="1" applyBorder="1"/>
    <xf numFmtId="0" fontId="6" fillId="3" borderId="9" xfId="0" applyFont="1" applyFill="1" applyBorder="1"/>
    <xf numFmtId="3" fontId="6" fillId="2" borderId="0" xfId="0" applyNumberFormat="1" applyFont="1" applyFill="1"/>
    <xf numFmtId="0" fontId="3" fillId="2" borderId="0" xfId="0" applyFont="1" applyFill="1"/>
    <xf numFmtId="0" fontId="6" fillId="2" borderId="3" xfId="0" applyFont="1" applyFill="1" applyBorder="1"/>
    <xf numFmtId="10" fontId="6" fillId="2" borderId="0" xfId="0" applyNumberFormat="1" applyFont="1" applyFill="1"/>
    <xf numFmtId="0" fontId="6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4" fillId="2" borderId="0" xfId="0" applyNumberFormat="1" applyFont="1" applyFill="1" applyAlignment="1"/>
    <xf numFmtId="3" fontId="6" fillId="2" borderId="0" xfId="0" applyNumberFormat="1" applyFont="1" applyFill="1" applyBorder="1"/>
    <xf numFmtId="0" fontId="7" fillId="2" borderId="0" xfId="0" applyFont="1" applyFill="1" applyAlignment="1"/>
    <xf numFmtId="10" fontId="6" fillId="2" borderId="0" xfId="0" applyNumberFormat="1" applyFont="1" applyFill="1" applyBorder="1"/>
    <xf numFmtId="166" fontId="6" fillId="2" borderId="0" xfId="0" applyNumberFormat="1" applyFont="1" applyFill="1" applyBorder="1"/>
    <xf numFmtId="166" fontId="6" fillId="2" borderId="0" xfId="0" applyNumberFormat="1" applyFont="1" applyFill="1"/>
    <xf numFmtId="3" fontId="4" fillId="5" borderId="0" xfId="0" applyNumberFormat="1" applyFont="1" applyFill="1"/>
    <xf numFmtId="3" fontId="0" fillId="5" borderId="0" xfId="0" applyNumberFormat="1" applyFill="1"/>
    <xf numFmtId="3" fontId="8" fillId="5" borderId="0" xfId="0" applyNumberFormat="1" applyFont="1" applyFill="1"/>
    <xf numFmtId="3" fontId="9" fillId="2" borderId="0" xfId="0" applyNumberFormat="1" applyFont="1" applyFill="1" applyAlignment="1">
      <alignment horizontal="left"/>
    </xf>
    <xf numFmtId="1" fontId="10" fillId="2" borderId="1" xfId="0" applyNumberFormat="1" applyFont="1" applyFill="1" applyBorder="1"/>
    <xf numFmtId="164" fontId="10" fillId="2" borderId="1" xfId="0" applyNumberFormat="1" applyFont="1" applyFill="1" applyBorder="1"/>
    <xf numFmtId="3" fontId="10" fillId="2" borderId="1" xfId="0" applyNumberFormat="1" applyFont="1" applyFill="1" applyBorder="1"/>
    <xf numFmtId="1" fontId="10" fillId="5" borderId="1" xfId="0" applyNumberFormat="1" applyFont="1" applyFill="1" applyBorder="1"/>
    <xf numFmtId="164" fontId="10" fillId="5" borderId="1" xfId="0" applyNumberFormat="1" applyFont="1" applyFill="1" applyBorder="1"/>
    <xf numFmtId="3" fontId="10" fillId="5" borderId="1" xfId="0" applyNumberFormat="1" applyFont="1" applyFill="1" applyBorder="1"/>
    <xf numFmtId="3" fontId="10" fillId="6" borderId="1" xfId="0" applyNumberFormat="1" applyFont="1" applyFill="1" applyBorder="1"/>
    <xf numFmtId="0" fontId="3" fillId="2" borderId="6" xfId="0" applyFont="1" applyFill="1" applyBorder="1"/>
    <xf numFmtId="0" fontId="3" fillId="2" borderId="2" xfId="0" applyFont="1" applyFill="1" applyBorder="1"/>
    <xf numFmtId="0" fontId="5" fillId="2" borderId="2" xfId="0" applyFont="1" applyFill="1" applyBorder="1"/>
    <xf numFmtId="0" fontId="3" fillId="2" borderId="5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3" xfId="0" applyFont="1" applyFill="1" applyBorder="1"/>
    <xf numFmtId="0" fontId="5" fillId="2" borderId="3" xfId="0" applyFont="1" applyFill="1" applyBorder="1"/>
    <xf numFmtId="0" fontId="3" fillId="2" borderId="8" xfId="0" applyFont="1" applyFill="1" applyBorder="1"/>
    <xf numFmtId="0" fontId="3" fillId="2" borderId="4" xfId="0" applyFont="1" applyFill="1" applyBorder="1"/>
    <xf numFmtId="0" fontId="5" fillId="2" borderId="4" xfId="0" applyFont="1" applyFill="1" applyBorder="1"/>
    <xf numFmtId="3" fontId="3" fillId="2" borderId="11" xfId="0" applyNumberFormat="1" applyFont="1" applyFill="1" applyBorder="1"/>
    <xf numFmtId="3" fontId="3" fillId="2" borderId="12" xfId="0" applyNumberFormat="1" applyFont="1" applyFill="1" applyBorder="1"/>
    <xf numFmtId="3" fontId="3" fillId="2" borderId="2" xfId="0" applyNumberFormat="1" applyFont="1" applyFill="1" applyBorder="1"/>
    <xf numFmtId="3" fontId="11" fillId="2" borderId="13" xfId="0" applyNumberFormat="1" applyFont="1" applyFill="1" applyBorder="1" applyAlignment="1">
      <alignment horizontal="center"/>
    </xf>
    <xf numFmtId="3" fontId="11" fillId="2" borderId="14" xfId="0" applyNumberFormat="1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3" fontId="11" fillId="2" borderId="0" xfId="0" applyNumberFormat="1" applyFont="1" applyFill="1" applyAlignment="1">
      <alignment horizontal="center"/>
    </xf>
    <xf numFmtId="3" fontId="3" fillId="2" borderId="0" xfId="0" applyNumberFormat="1" applyFont="1" applyFill="1"/>
    <xf numFmtId="3" fontId="3" fillId="2" borderId="0" xfId="0" applyNumberFormat="1" applyFont="1" applyFill="1" applyBorder="1"/>
    <xf numFmtId="0" fontId="10" fillId="6" borderId="15" xfId="0" applyFont="1" applyFill="1" applyBorder="1"/>
    <xf numFmtId="0" fontId="10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10" fillId="3" borderId="5" xfId="0" applyFont="1" applyFill="1" applyBorder="1"/>
    <xf numFmtId="3" fontId="10" fillId="3" borderId="1" xfId="0" applyNumberFormat="1" applyFont="1" applyFill="1" applyBorder="1"/>
    <xf numFmtId="37" fontId="10" fillId="3" borderId="1" xfId="0" applyNumberFormat="1" applyFont="1" applyFill="1" applyBorder="1"/>
    <xf numFmtId="165" fontId="10" fillId="3" borderId="1" xfId="0" applyNumberFormat="1" applyFont="1" applyFill="1" applyBorder="1"/>
    <xf numFmtId="10" fontId="10" fillId="3" borderId="1" xfId="0" applyNumberFormat="1" applyFont="1" applyFill="1" applyBorder="1"/>
    <xf numFmtId="167" fontId="10" fillId="3" borderId="1" xfId="0" applyNumberFormat="1" applyFont="1" applyFill="1" applyBorder="1"/>
    <xf numFmtId="0" fontId="10" fillId="3" borderId="1" xfId="0" applyFont="1" applyFill="1" applyBorder="1" applyAlignment="1">
      <alignment horizontal="right"/>
    </xf>
    <xf numFmtId="1" fontId="10" fillId="0" borderId="1" xfId="0" applyNumberFormat="1" applyFont="1" applyFill="1" applyBorder="1"/>
    <xf numFmtId="164" fontId="10" fillId="0" borderId="1" xfId="0" applyNumberFormat="1" applyFont="1" applyFill="1" applyBorder="1"/>
    <xf numFmtId="0" fontId="10" fillId="0" borderId="15" xfId="0" applyFont="1" applyFill="1" applyBorder="1"/>
    <xf numFmtId="3" fontId="10" fillId="0" borderId="1" xfId="0" applyNumberFormat="1" applyFont="1" applyFill="1" applyBorder="1"/>
    <xf numFmtId="3" fontId="4" fillId="0" borderId="0" xfId="0" applyNumberFormat="1" applyFont="1" applyFill="1"/>
    <xf numFmtId="3" fontId="0" fillId="0" borderId="0" xfId="0" applyNumberFormat="1" applyFill="1"/>
    <xf numFmtId="0" fontId="3" fillId="2" borderId="0" xfId="0" applyFont="1" applyFill="1" applyBorder="1"/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Border="1" applyAlignment="1">
      <alignment horizontal="centerContinuous"/>
    </xf>
    <xf numFmtId="22" fontId="3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/>
    <xf numFmtId="22" fontId="3" fillId="2" borderId="0" xfId="0" applyNumberFormat="1" applyFont="1" applyFill="1" applyBorder="1" applyAlignment="1">
      <alignment horizontal="center"/>
    </xf>
    <xf numFmtId="3" fontId="11" fillId="2" borderId="14" xfId="0" applyNumberFormat="1" applyFont="1" applyFill="1" applyBorder="1"/>
    <xf numFmtId="3" fontId="5" fillId="2" borderId="0" xfId="0" applyNumberFormat="1" applyFont="1" applyFill="1"/>
    <xf numFmtId="0" fontId="10" fillId="0" borderId="1" xfId="0" applyFont="1" applyFill="1" applyBorder="1"/>
    <xf numFmtId="0" fontId="10" fillId="6" borderId="16" xfId="0" applyFont="1" applyFill="1" applyBorder="1"/>
    <xf numFmtId="0" fontId="10" fillId="6" borderId="17" xfId="0" applyFont="1" applyFill="1" applyBorder="1"/>
    <xf numFmtId="3" fontId="10" fillId="0" borderId="19" xfId="0" applyNumberFormat="1" applyFont="1" applyFill="1" applyBorder="1"/>
    <xf numFmtId="3" fontId="10" fillId="5" borderId="19" xfId="0" applyNumberFormat="1" applyFont="1" applyFill="1" applyBorder="1"/>
    <xf numFmtId="1" fontId="10" fillId="6" borderId="1" xfId="0" applyNumberFormat="1" applyFont="1" applyFill="1" applyBorder="1"/>
    <xf numFmtId="164" fontId="10" fillId="6" borderId="1" xfId="0" applyNumberFormat="1" applyFont="1" applyFill="1" applyBorder="1"/>
    <xf numFmtId="3" fontId="4" fillId="6" borderId="0" xfId="0" applyNumberFormat="1" applyFont="1" applyFill="1"/>
    <xf numFmtId="3" fontId="0" fillId="6" borderId="0" xfId="0" applyNumberFormat="1" applyFill="1"/>
    <xf numFmtId="3" fontId="8" fillId="0" borderId="0" xfId="0" applyNumberFormat="1" applyFont="1" applyFill="1"/>
    <xf numFmtId="3" fontId="10" fillId="6" borderId="19" xfId="0" applyNumberFormat="1" applyFont="1" applyFill="1" applyBorder="1"/>
    <xf numFmtId="3" fontId="8" fillId="6" borderId="0" xfId="0" applyNumberFormat="1" applyFont="1" applyFill="1"/>
    <xf numFmtId="3" fontId="15" fillId="0" borderId="18" xfId="2" applyNumberFormat="1" applyFont="1" applyBorder="1" applyAlignment="1">
      <alignment wrapText="1"/>
    </xf>
    <xf numFmtId="3" fontId="15" fillId="6" borderId="18" xfId="2" applyNumberFormat="1" applyFont="1" applyFill="1" applyBorder="1" applyAlignment="1">
      <alignment wrapText="1"/>
    </xf>
    <xf numFmtId="3" fontId="15" fillId="0" borderId="18" xfId="2" applyNumberFormat="1" applyFont="1" applyFill="1" applyBorder="1" applyAlignment="1">
      <alignment wrapText="1"/>
    </xf>
    <xf numFmtId="10" fontId="15" fillId="0" borderId="18" xfId="2" applyNumberFormat="1" applyFont="1" applyBorder="1" applyAlignment="1">
      <alignment wrapText="1"/>
    </xf>
    <xf numFmtId="167" fontId="10" fillId="2" borderId="1" xfId="0" applyNumberFormat="1" applyFont="1" applyFill="1" applyBorder="1" applyAlignment="1">
      <alignment wrapText="1"/>
    </xf>
    <xf numFmtId="37" fontId="15" fillId="0" borderId="18" xfId="2" applyNumberFormat="1" applyFont="1" applyBorder="1" applyAlignment="1">
      <alignment wrapText="1"/>
    </xf>
    <xf numFmtId="3" fontId="10" fillId="2" borderId="1" xfId="0" applyNumberFormat="1" applyFont="1" applyFill="1" applyBorder="1" applyAlignment="1">
      <alignment wrapText="1"/>
    </xf>
    <xf numFmtId="10" fontId="15" fillId="6" borderId="18" xfId="2" applyNumberFormat="1" applyFont="1" applyFill="1" applyBorder="1" applyAlignment="1">
      <alignment wrapText="1"/>
    </xf>
    <xf numFmtId="167" fontId="10" fillId="5" borderId="1" xfId="0" applyNumberFormat="1" applyFont="1" applyFill="1" applyBorder="1" applyAlignment="1">
      <alignment wrapText="1"/>
    </xf>
    <xf numFmtId="37" fontId="15" fillId="6" borderId="18" xfId="2" applyNumberFormat="1" applyFont="1" applyFill="1" applyBorder="1" applyAlignment="1">
      <alignment wrapText="1"/>
    </xf>
    <xf numFmtId="3" fontId="10" fillId="5" borderId="1" xfId="0" applyNumberFormat="1" applyFont="1" applyFill="1" applyBorder="1" applyAlignment="1">
      <alignment wrapText="1"/>
    </xf>
    <xf numFmtId="166" fontId="10" fillId="5" borderId="1" xfId="0" applyNumberFormat="1" applyFont="1" applyFill="1" applyBorder="1" applyAlignment="1">
      <alignment wrapText="1"/>
    </xf>
    <xf numFmtId="3" fontId="10" fillId="7" borderId="1" xfId="0" applyNumberFormat="1" applyFont="1" applyFill="1" applyBorder="1" applyAlignment="1">
      <alignment wrapText="1"/>
    </xf>
    <xf numFmtId="10" fontId="10" fillId="7" borderId="1" xfId="0" applyNumberFormat="1" applyFont="1" applyFill="1" applyBorder="1" applyAlignment="1">
      <alignment wrapText="1"/>
    </xf>
    <xf numFmtId="37" fontId="10" fillId="5" borderId="1" xfId="0" applyNumberFormat="1" applyFont="1" applyFill="1" applyBorder="1" applyAlignment="1">
      <alignment wrapText="1"/>
    </xf>
    <xf numFmtId="3" fontId="10" fillId="0" borderId="1" xfId="0" applyNumberFormat="1" applyFont="1" applyFill="1" applyBorder="1" applyAlignment="1">
      <alignment wrapText="1"/>
    </xf>
    <xf numFmtId="166" fontId="10" fillId="0" borderId="1" xfId="0" applyNumberFormat="1" applyFont="1" applyFill="1" applyBorder="1" applyAlignment="1">
      <alignment wrapText="1"/>
    </xf>
    <xf numFmtId="10" fontId="10" fillId="0" borderId="1" xfId="0" applyNumberFormat="1" applyFont="1" applyFill="1" applyBorder="1" applyAlignment="1">
      <alignment wrapText="1"/>
    </xf>
    <xf numFmtId="37" fontId="10" fillId="0" borderId="1" xfId="0" applyNumberFormat="1" applyFont="1" applyFill="1" applyBorder="1" applyAlignment="1">
      <alignment wrapText="1"/>
    </xf>
    <xf numFmtId="3" fontId="10" fillId="6" borderId="18" xfId="2" applyNumberFormat="1" applyFont="1" applyFill="1" applyBorder="1" applyAlignment="1">
      <alignment wrapText="1"/>
    </xf>
    <xf numFmtId="166" fontId="10" fillId="6" borderId="18" xfId="2" applyNumberFormat="1" applyFont="1" applyFill="1" applyBorder="1" applyAlignment="1">
      <alignment wrapText="1"/>
    </xf>
    <xf numFmtId="37" fontId="10" fillId="6" borderId="18" xfId="2" applyNumberFormat="1" applyFont="1" applyFill="1" applyBorder="1" applyAlignment="1">
      <alignment wrapText="1"/>
    </xf>
    <xf numFmtId="3" fontId="10" fillId="6" borderId="1" xfId="0" applyNumberFormat="1" applyFont="1" applyFill="1" applyBorder="1" applyAlignment="1">
      <alignment wrapText="1"/>
    </xf>
    <xf numFmtId="3" fontId="15" fillId="0" borderId="20" xfId="10" applyNumberFormat="1" applyFont="1" applyBorder="1" applyAlignment="1">
      <alignment wrapText="1"/>
    </xf>
    <xf numFmtId="3" fontId="15" fillId="6" borderId="20" xfId="10" applyNumberFormat="1" applyFont="1" applyFill="1" applyBorder="1" applyAlignment="1">
      <alignment wrapText="1"/>
    </xf>
    <xf numFmtId="10" fontId="15" fillId="0" borderId="20" xfId="10" applyNumberFormat="1" applyFont="1" applyBorder="1" applyAlignment="1">
      <alignment wrapText="1"/>
    </xf>
    <xf numFmtId="37" fontId="15" fillId="0" borderId="20" xfId="10" applyNumberFormat="1" applyFont="1" applyBorder="1" applyAlignment="1">
      <alignment wrapText="1"/>
    </xf>
    <xf numFmtId="37" fontId="10" fillId="2" borderId="1" xfId="0" applyNumberFormat="1" applyFont="1" applyFill="1" applyBorder="1" applyAlignment="1">
      <alignment wrapText="1"/>
    </xf>
    <xf numFmtId="10" fontId="15" fillId="6" borderId="20" xfId="10" applyNumberFormat="1" applyFont="1" applyFill="1" applyBorder="1" applyAlignment="1">
      <alignment wrapText="1"/>
    </xf>
    <xf numFmtId="37" fontId="15" fillId="6" borderId="20" xfId="10" applyNumberFormat="1" applyFont="1" applyFill="1" applyBorder="1" applyAlignment="1">
      <alignment wrapText="1"/>
    </xf>
    <xf numFmtId="166" fontId="15" fillId="6" borderId="18" xfId="2" applyNumberFormat="1" applyFont="1" applyFill="1" applyBorder="1" applyAlignment="1">
      <alignment wrapText="1"/>
    </xf>
    <xf numFmtId="166" fontId="15" fillId="0" borderId="18" xfId="2" applyNumberFormat="1" applyFont="1" applyFill="1" applyBorder="1" applyAlignment="1">
      <alignment wrapText="1"/>
    </xf>
    <xf numFmtId="167" fontId="10" fillId="0" borderId="1" xfId="0" applyNumberFormat="1" applyFont="1" applyFill="1" applyBorder="1" applyAlignment="1">
      <alignment wrapText="1"/>
    </xf>
    <xf numFmtId="37" fontId="15" fillId="0" borderId="18" xfId="2" applyNumberFormat="1" applyFont="1" applyFill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3" fontId="10" fillId="4" borderId="1" xfId="0" applyNumberFormat="1" applyFont="1" applyFill="1" applyBorder="1" applyAlignment="1">
      <alignment wrapText="1"/>
    </xf>
    <xf numFmtId="10" fontId="10" fillId="4" borderId="1" xfId="0" applyNumberFormat="1" applyFont="1" applyFill="1" applyBorder="1" applyAlignment="1">
      <alignment wrapText="1"/>
    </xf>
    <xf numFmtId="164" fontId="10" fillId="5" borderId="20" xfId="0" applyNumberFormat="1" applyFont="1" applyFill="1" applyBorder="1"/>
    <xf numFmtId="3" fontId="10" fillId="5" borderId="20" xfId="0" applyNumberFormat="1" applyFont="1" applyFill="1" applyBorder="1" applyAlignment="1">
      <alignment wrapText="1"/>
    </xf>
    <xf numFmtId="166" fontId="10" fillId="5" borderId="20" xfId="0" applyNumberFormat="1" applyFont="1" applyFill="1" applyBorder="1" applyAlignment="1">
      <alignment wrapText="1"/>
    </xf>
    <xf numFmtId="10" fontId="10" fillId="5" borderId="20" xfId="0" applyNumberFormat="1" applyFont="1" applyFill="1" applyBorder="1" applyAlignment="1">
      <alignment wrapText="1"/>
    </xf>
    <xf numFmtId="37" fontId="10" fillId="5" borderId="20" xfId="0" applyNumberFormat="1" applyFont="1" applyFill="1" applyBorder="1" applyAlignment="1">
      <alignment wrapText="1"/>
    </xf>
    <xf numFmtId="10" fontId="10" fillId="6" borderId="18" xfId="2" applyNumberFormat="1" applyFont="1" applyFill="1" applyBorder="1" applyAlignment="1">
      <alignment wrapText="1"/>
    </xf>
    <xf numFmtId="10" fontId="15" fillId="0" borderId="18" xfId="2" applyNumberFormat="1" applyFont="1" applyFill="1" applyBorder="1" applyAlignment="1">
      <alignment wrapText="1"/>
    </xf>
    <xf numFmtId="3" fontId="4" fillId="2" borderId="0" xfId="0" quotePrefix="1" applyNumberFormat="1" applyFont="1" applyFill="1" applyAlignment="1">
      <alignment horizontal="left"/>
    </xf>
    <xf numFmtId="3" fontId="3" fillId="2" borderId="14" xfId="0" applyNumberFormat="1" applyFont="1" applyFill="1" applyBorder="1"/>
    <xf numFmtId="37" fontId="15" fillId="0" borderId="20" xfId="10" applyNumberFormat="1" applyFont="1" applyFill="1" applyBorder="1" applyAlignment="1">
      <alignment wrapText="1"/>
    </xf>
    <xf numFmtId="166" fontId="15" fillId="0" borderId="18" xfId="2" applyNumberFormat="1" applyFont="1" applyBorder="1" applyAlignment="1">
      <alignment wrapText="1"/>
    </xf>
    <xf numFmtId="166" fontId="15" fillId="0" borderId="20" xfId="10" applyNumberFormat="1" applyFont="1" applyBorder="1" applyAlignment="1">
      <alignment wrapText="1"/>
    </xf>
    <xf numFmtId="166" fontId="15" fillId="6" borderId="20" xfId="10" applyNumberFormat="1" applyFont="1" applyFill="1" applyBorder="1" applyAlignment="1">
      <alignment wrapText="1"/>
    </xf>
    <xf numFmtId="3" fontId="12" fillId="2" borderId="0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8" xfId="0" applyFont="1" applyFill="1" applyBorder="1" applyAlignment="1">
      <alignment horizontal="left" wrapText="1"/>
    </xf>
  </cellXfs>
  <cellStyles count="11">
    <cellStyle name="Currency 2" xfId="2"/>
    <cellStyle name="Currency 3" xfId="10"/>
    <cellStyle name="Normal" xfId="0" builtinId="0"/>
    <cellStyle name="Normal 2" xfId="3"/>
    <cellStyle name="Normal 3" xfId="4"/>
    <cellStyle name="Normal 4" xfId="5"/>
    <cellStyle name="Normal 5" xfId="6"/>
    <cellStyle name="Normal 5 2" xfId="8"/>
    <cellStyle name="Normal 6" xfId="7"/>
    <cellStyle name="Normal 7" xfId="1"/>
    <cellStyle name="Normal 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86"/>
  <sheetViews>
    <sheetView showGridLines="0" tabSelected="1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12" sqref="D12"/>
    </sheetView>
  </sheetViews>
  <sheetFormatPr defaultColWidth="8" defaultRowHeight="15" x14ac:dyDescent="0.25"/>
  <cols>
    <col min="1" max="1" width="4.54296875" style="2" customWidth="1"/>
    <col min="2" max="2" width="20.36328125" style="2" customWidth="1"/>
    <col min="3" max="3" width="12.36328125" style="2" hidden="1" customWidth="1"/>
    <col min="4" max="4" width="17.36328125" style="2" customWidth="1"/>
    <col min="5" max="5" width="8.81640625" style="2" hidden="1" customWidth="1"/>
    <col min="6" max="6" width="16.90625" style="2" customWidth="1"/>
    <col min="7" max="7" width="13.81640625" style="2" customWidth="1"/>
    <col min="8" max="9" width="11" style="2" customWidth="1"/>
    <col min="10" max="10" width="10" style="2" customWidth="1"/>
    <col min="11" max="11" width="10.90625" style="2" customWidth="1"/>
    <col min="12" max="12" width="9.1796875" style="2" customWidth="1"/>
    <col min="13" max="13" width="9.90625" style="2" customWidth="1"/>
    <col min="14" max="14" width="9" style="2" customWidth="1"/>
    <col min="15" max="15" width="13.81640625" style="2" customWidth="1"/>
    <col min="16" max="16" width="10.36328125" style="2" customWidth="1"/>
    <col min="17" max="17" width="14.08984375" style="2" customWidth="1"/>
    <col min="18" max="18" width="14.1796875" style="2" customWidth="1"/>
    <col min="19" max="19" width="13.6328125" style="2" customWidth="1"/>
    <col min="20" max="20" width="11.81640625" style="2" customWidth="1"/>
    <col min="21" max="21" width="11.08984375" style="2" customWidth="1"/>
    <col min="22" max="22" width="8.36328125" style="2" customWidth="1"/>
    <col min="23" max="23" width="9.36328125" style="2" customWidth="1"/>
    <col min="24" max="24" width="10.453125" style="2" customWidth="1"/>
    <col min="25" max="25" width="10.1796875" style="2" customWidth="1"/>
    <col min="26" max="26" width="10" style="2" customWidth="1"/>
    <col min="27" max="27" width="10.36328125" style="2" customWidth="1"/>
    <col min="28" max="28" width="11.08984375" style="2" customWidth="1"/>
    <col min="29" max="29" width="11.453125" style="2" customWidth="1"/>
    <col min="30" max="30" width="10.453125" style="2" customWidth="1"/>
    <col min="31" max="31" width="11.81640625" style="2" customWidth="1"/>
    <col min="32" max="32" width="7.81640625" style="2" customWidth="1"/>
    <col min="33" max="33" width="8.453125" style="2" customWidth="1"/>
    <col min="34" max="34" width="8.6328125" style="2" customWidth="1"/>
    <col min="35" max="35" width="9.6328125" style="2" customWidth="1"/>
    <col min="36" max="36" width="9.08984375" style="2" customWidth="1"/>
    <col min="37" max="37" width="8.81640625" style="2" customWidth="1"/>
    <col min="38" max="38" width="7.6328125" style="2" customWidth="1"/>
    <col min="39" max="39" width="10.6328125" style="2" customWidth="1"/>
    <col min="40" max="40" width="8.90625" style="2" customWidth="1"/>
    <col min="41" max="41" width="15.81640625" style="2" customWidth="1"/>
    <col min="42" max="42" width="11.36328125" style="2" customWidth="1"/>
    <col min="43" max="44" width="9.81640625" style="2" customWidth="1"/>
    <col min="45" max="45" width="8.453125" style="2" customWidth="1"/>
    <col min="46" max="46" width="9" style="2" customWidth="1"/>
    <col min="47" max="47" width="7.6328125" style="2" customWidth="1"/>
    <col min="48" max="48" width="8.453125" style="2" customWidth="1"/>
    <col min="49" max="49" width="10.54296875" style="2" customWidth="1"/>
    <col min="50" max="50" width="9" style="2" customWidth="1"/>
    <col min="51" max="52" width="8.90625" style="2" customWidth="1"/>
    <col min="53" max="53" width="9.6328125" style="2" customWidth="1"/>
    <col min="54" max="54" width="7.6328125" style="2" customWidth="1"/>
    <col min="55" max="55" width="9.453125" style="2" customWidth="1"/>
    <col min="56" max="57" width="7.6328125" style="2" customWidth="1"/>
    <col min="58" max="58" width="6.453125" style="2" customWidth="1"/>
    <col min="59" max="59" width="11.90625" style="2" customWidth="1"/>
    <col min="60" max="228" width="7.6328125" style="2" customWidth="1"/>
  </cols>
  <sheetData>
    <row r="1" spans="1:228" ht="15.6" x14ac:dyDescent="0.3"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</row>
    <row r="2" spans="1:228" ht="15.6" x14ac:dyDescent="0.3">
      <c r="A2" s="22" t="s">
        <v>244</v>
      </c>
      <c r="B2" s="19"/>
      <c r="C2" s="20"/>
      <c r="D2" s="22"/>
      <c r="E2" s="22"/>
      <c r="F2" s="19"/>
      <c r="G2" s="19"/>
      <c r="H2" s="77"/>
      <c r="I2" s="77"/>
      <c r="J2" s="56"/>
      <c r="K2" s="56"/>
      <c r="L2" s="56"/>
      <c r="M2" s="56"/>
      <c r="N2" s="56"/>
      <c r="O2" s="56"/>
      <c r="P2" s="56"/>
      <c r="Q2" s="56"/>
      <c r="R2" s="56"/>
      <c r="S2" s="78"/>
      <c r="T2" s="78"/>
      <c r="U2" s="75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75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141"/>
      <c r="BD2" s="141"/>
      <c r="BE2" s="141"/>
      <c r="BF2" s="141"/>
      <c r="BG2" s="141"/>
    </row>
    <row r="3" spans="1:228" x14ac:dyDescent="0.25">
      <c r="H3" s="79"/>
      <c r="I3" s="79"/>
      <c r="J3" s="79"/>
      <c r="K3" s="79"/>
      <c r="L3" s="79"/>
      <c r="M3" s="79"/>
      <c r="N3" s="79"/>
      <c r="O3" s="79"/>
      <c r="P3" s="56"/>
      <c r="Q3" s="56"/>
      <c r="R3" s="79"/>
      <c r="S3" s="79"/>
      <c r="T3" s="80"/>
      <c r="U3" s="79"/>
      <c r="V3" s="81"/>
      <c r="W3" s="56"/>
      <c r="X3" s="79"/>
      <c r="Y3" s="79"/>
      <c r="Z3" s="79"/>
      <c r="AA3" s="79"/>
      <c r="AB3" s="79"/>
      <c r="AC3" s="79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79"/>
      <c r="AP3" s="79"/>
      <c r="AQ3" s="56"/>
      <c r="AR3" s="56"/>
      <c r="AS3" s="56"/>
      <c r="AT3" s="76"/>
      <c r="AU3" s="55"/>
      <c r="AV3" s="83"/>
      <c r="AW3" s="76"/>
      <c r="AX3" s="76"/>
      <c r="AY3" s="76"/>
      <c r="AZ3" s="55"/>
      <c r="BA3" s="55"/>
      <c r="BB3" s="55"/>
      <c r="BC3" s="48" t="s">
        <v>1</v>
      </c>
      <c r="BD3" s="49"/>
      <c r="BE3" s="49"/>
      <c r="BF3" s="49"/>
      <c r="BG3" s="50"/>
    </row>
    <row r="4" spans="1:228" x14ac:dyDescent="0.25">
      <c r="A4" s="140" t="s">
        <v>260</v>
      </c>
      <c r="B4" s="29"/>
      <c r="C4" s="29"/>
      <c r="D4" s="29"/>
      <c r="E4" s="29" t="s">
        <v>250</v>
      </c>
      <c r="F4" s="29"/>
      <c r="G4" s="29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82"/>
      <c r="AN4" s="82"/>
      <c r="AO4" s="82"/>
      <c r="AP4" s="52"/>
      <c r="AQ4" s="52"/>
      <c r="AR4" s="52"/>
      <c r="AS4" s="52"/>
      <c r="AT4" s="54"/>
      <c r="AU4" s="54"/>
      <c r="AV4" s="54"/>
      <c r="AW4" s="54"/>
      <c r="AX4" s="54"/>
      <c r="AY4" s="54"/>
      <c r="AZ4" s="54"/>
      <c r="BA4" s="54"/>
      <c r="BB4" s="54"/>
      <c r="BC4" s="51"/>
      <c r="BD4" s="52"/>
      <c r="BE4" s="52"/>
      <c r="BF4" s="52"/>
      <c r="BG4" s="53"/>
    </row>
    <row r="5" spans="1:228" ht="15.6" customHeight="1" x14ac:dyDescent="0.25">
      <c r="A5" s="37"/>
      <c r="B5" s="38"/>
      <c r="C5" s="39"/>
      <c r="D5" s="38"/>
      <c r="E5" s="147" t="s">
        <v>236</v>
      </c>
      <c r="F5" s="38"/>
      <c r="G5" s="38"/>
      <c r="H5" s="38" t="s">
        <v>64</v>
      </c>
      <c r="I5" s="38" t="s">
        <v>130</v>
      </c>
      <c r="J5" s="38"/>
      <c r="K5" s="38" t="s">
        <v>120</v>
      </c>
      <c r="L5" s="38" t="s">
        <v>106</v>
      </c>
      <c r="M5" s="38" t="s">
        <v>137</v>
      </c>
      <c r="N5" s="38"/>
      <c r="O5" s="150" t="s">
        <v>149</v>
      </c>
      <c r="P5" s="38" t="s">
        <v>3</v>
      </c>
      <c r="Q5" s="153" t="s">
        <v>150</v>
      </c>
      <c r="R5" s="153" t="s">
        <v>151</v>
      </c>
      <c r="S5" s="153" t="s">
        <v>152</v>
      </c>
      <c r="T5" s="38" t="s">
        <v>20</v>
      </c>
      <c r="U5" s="38"/>
      <c r="V5" s="38"/>
      <c r="W5" s="38"/>
      <c r="X5" s="40" t="s">
        <v>2</v>
      </c>
      <c r="Y5" s="40"/>
      <c r="Z5" s="41"/>
      <c r="AA5" s="38" t="s">
        <v>95</v>
      </c>
      <c r="AB5" s="38" t="s">
        <v>24</v>
      </c>
      <c r="AC5" s="38"/>
      <c r="AD5" s="38" t="s">
        <v>34</v>
      </c>
      <c r="AE5" s="38" t="s">
        <v>125</v>
      </c>
      <c r="AF5" s="38"/>
      <c r="AG5" s="38" t="s">
        <v>50</v>
      </c>
      <c r="AH5" s="38" t="s">
        <v>50</v>
      </c>
      <c r="AI5" s="38"/>
      <c r="AJ5" s="38"/>
      <c r="AK5" s="38"/>
      <c r="AL5" s="38"/>
      <c r="AM5" s="38"/>
      <c r="AN5" s="38"/>
      <c r="AO5" s="59" t="s">
        <v>240</v>
      </c>
      <c r="AP5" s="38" t="s">
        <v>49</v>
      </c>
      <c r="AQ5" s="38" t="s">
        <v>52</v>
      </c>
      <c r="AR5" s="38"/>
      <c r="AS5" s="38" t="s">
        <v>12</v>
      </c>
      <c r="AT5" s="38" t="s">
        <v>28</v>
      </c>
      <c r="AU5" s="38" t="s">
        <v>92</v>
      </c>
      <c r="AV5" s="38"/>
      <c r="AW5" s="38" t="s">
        <v>27</v>
      </c>
      <c r="AX5" s="38"/>
      <c r="AY5" s="38" t="s">
        <v>30</v>
      </c>
      <c r="AZ5" s="38" t="s">
        <v>30</v>
      </c>
      <c r="BA5" s="38"/>
      <c r="BB5" s="37"/>
      <c r="BC5" s="38"/>
      <c r="BD5" s="38"/>
      <c r="BE5" s="38"/>
      <c r="BF5" s="38"/>
      <c r="BG5" s="38"/>
    </row>
    <row r="6" spans="1:228" x14ac:dyDescent="0.25">
      <c r="A6" s="42"/>
      <c r="B6" s="43" t="s">
        <v>134</v>
      </c>
      <c r="C6" s="44" t="s">
        <v>134</v>
      </c>
      <c r="D6" s="43"/>
      <c r="E6" s="148"/>
      <c r="F6" s="43" t="s">
        <v>46</v>
      </c>
      <c r="G6" s="43" t="s">
        <v>122</v>
      </c>
      <c r="H6" s="43" t="s">
        <v>40</v>
      </c>
      <c r="I6" s="43" t="s">
        <v>133</v>
      </c>
      <c r="J6" s="43"/>
      <c r="K6" s="43" t="s">
        <v>38</v>
      </c>
      <c r="L6" s="43" t="s">
        <v>38</v>
      </c>
      <c r="M6" s="43" t="s">
        <v>38</v>
      </c>
      <c r="N6" s="43" t="s">
        <v>40</v>
      </c>
      <c r="O6" s="151"/>
      <c r="P6" s="43" t="s">
        <v>110</v>
      </c>
      <c r="Q6" s="154"/>
      <c r="R6" s="154"/>
      <c r="S6" s="154"/>
      <c r="T6" s="43" t="s">
        <v>22</v>
      </c>
      <c r="U6" s="43" t="s">
        <v>5</v>
      </c>
      <c r="V6" s="43" t="s">
        <v>35</v>
      </c>
      <c r="W6" s="43"/>
      <c r="X6" s="43"/>
      <c r="Y6" s="43" t="s">
        <v>48</v>
      </c>
      <c r="Z6" s="43"/>
      <c r="AA6" s="43" t="s">
        <v>116</v>
      </c>
      <c r="AB6" s="43" t="s">
        <v>11</v>
      </c>
      <c r="AC6" s="43" t="s">
        <v>33</v>
      </c>
      <c r="AD6" s="43" t="s">
        <v>123</v>
      </c>
      <c r="AE6" s="43" t="s">
        <v>104</v>
      </c>
      <c r="AF6" s="43"/>
      <c r="AG6" s="43" t="s">
        <v>61</v>
      </c>
      <c r="AH6" s="43" t="s">
        <v>61</v>
      </c>
      <c r="AI6" s="43" t="s">
        <v>130</v>
      </c>
      <c r="AJ6" s="43" t="s">
        <v>130</v>
      </c>
      <c r="AK6" s="43" t="s">
        <v>113</v>
      </c>
      <c r="AL6" s="43" t="s">
        <v>86</v>
      </c>
      <c r="AM6" s="43" t="s">
        <v>257</v>
      </c>
      <c r="AN6" s="43" t="s">
        <v>52</v>
      </c>
      <c r="AO6" s="60" t="s">
        <v>242</v>
      </c>
      <c r="AP6" s="43" t="s">
        <v>53</v>
      </c>
      <c r="AQ6" s="43" t="s">
        <v>101</v>
      </c>
      <c r="AR6" s="43" t="s">
        <v>39</v>
      </c>
      <c r="AS6" s="43" t="s">
        <v>98</v>
      </c>
      <c r="AT6" s="43" t="s">
        <v>13</v>
      </c>
      <c r="AU6" s="43" t="s">
        <v>27</v>
      </c>
      <c r="AV6" s="43" t="s">
        <v>99</v>
      </c>
      <c r="AW6" s="43" t="s">
        <v>37</v>
      </c>
      <c r="AX6" s="43" t="s">
        <v>27</v>
      </c>
      <c r="AY6" s="43" t="s">
        <v>31</v>
      </c>
      <c r="AZ6" s="43" t="s">
        <v>65</v>
      </c>
      <c r="BA6" s="43" t="s">
        <v>4</v>
      </c>
      <c r="BB6" s="42" t="s">
        <v>27</v>
      </c>
      <c r="BC6" s="43"/>
      <c r="BD6" s="43"/>
      <c r="BE6" s="43"/>
      <c r="BF6" s="43"/>
      <c r="BG6" s="43" t="s">
        <v>93</v>
      </c>
    </row>
    <row r="7" spans="1:228" ht="15" customHeight="1" x14ac:dyDescent="0.25">
      <c r="A7" s="45" t="s">
        <v>112</v>
      </c>
      <c r="B7" s="46" t="s">
        <v>79</v>
      </c>
      <c r="C7" s="47" t="s">
        <v>56</v>
      </c>
      <c r="D7" s="46" t="s">
        <v>29</v>
      </c>
      <c r="E7" s="149"/>
      <c r="F7" s="46" t="s">
        <v>16</v>
      </c>
      <c r="G7" s="46" t="s">
        <v>16</v>
      </c>
      <c r="H7" s="46" t="s">
        <v>102</v>
      </c>
      <c r="I7" s="46" t="s">
        <v>110</v>
      </c>
      <c r="J7" s="46" t="s">
        <v>111</v>
      </c>
      <c r="K7" s="46" t="s">
        <v>42</v>
      </c>
      <c r="L7" s="46" t="s">
        <v>42</v>
      </c>
      <c r="M7" s="46" t="s">
        <v>42</v>
      </c>
      <c r="N7" s="46" t="s">
        <v>19</v>
      </c>
      <c r="O7" s="152"/>
      <c r="P7" s="46" t="s">
        <v>67</v>
      </c>
      <c r="Q7" s="155"/>
      <c r="R7" s="155"/>
      <c r="S7" s="155"/>
      <c r="T7" s="46" t="s">
        <v>15</v>
      </c>
      <c r="U7" s="46" t="s">
        <v>132</v>
      </c>
      <c r="V7" s="46" t="s">
        <v>109</v>
      </c>
      <c r="W7" s="46" t="s">
        <v>73</v>
      </c>
      <c r="X7" s="46" t="s">
        <v>119</v>
      </c>
      <c r="Y7" s="46" t="s">
        <v>36</v>
      </c>
      <c r="Z7" s="46" t="s">
        <v>23</v>
      </c>
      <c r="AA7" s="46" t="s">
        <v>138</v>
      </c>
      <c r="AB7" s="46" t="s">
        <v>121</v>
      </c>
      <c r="AC7" s="46" t="s">
        <v>121</v>
      </c>
      <c r="AD7" s="46" t="s">
        <v>121</v>
      </c>
      <c r="AE7" s="46" t="s">
        <v>124</v>
      </c>
      <c r="AF7" s="46" t="s">
        <v>131</v>
      </c>
      <c r="AG7" s="46" t="s">
        <v>117</v>
      </c>
      <c r="AH7" s="46" t="s">
        <v>107</v>
      </c>
      <c r="AI7" s="46" t="s">
        <v>114</v>
      </c>
      <c r="AJ7" s="46" t="s">
        <v>54</v>
      </c>
      <c r="AK7" s="46" t="s">
        <v>6</v>
      </c>
      <c r="AL7" s="46" t="s">
        <v>43</v>
      </c>
      <c r="AM7" s="46" t="s">
        <v>32</v>
      </c>
      <c r="AN7" s="46" t="s">
        <v>32</v>
      </c>
      <c r="AO7" s="61" t="s">
        <v>241</v>
      </c>
      <c r="AP7" s="46" t="s">
        <v>21</v>
      </c>
      <c r="AQ7" s="46" t="s">
        <v>129</v>
      </c>
      <c r="AR7" s="46" t="s">
        <v>41</v>
      </c>
      <c r="AS7" s="46" t="s">
        <v>41</v>
      </c>
      <c r="AT7" s="46" t="s">
        <v>251</v>
      </c>
      <c r="AU7" s="46" t="s">
        <v>55</v>
      </c>
      <c r="AV7" s="46" t="s">
        <v>14</v>
      </c>
      <c r="AW7" s="46" t="s">
        <v>128</v>
      </c>
      <c r="AX7" s="46" t="s">
        <v>45</v>
      </c>
      <c r="AY7" s="46" t="s">
        <v>103</v>
      </c>
      <c r="AZ7" s="46" t="s">
        <v>44</v>
      </c>
      <c r="BA7" s="46" t="s">
        <v>252</v>
      </c>
      <c r="BB7" s="42" t="s">
        <v>185</v>
      </c>
      <c r="BC7" s="43" t="s">
        <v>10</v>
      </c>
      <c r="BD7" s="43" t="s">
        <v>9</v>
      </c>
      <c r="BE7" s="43" t="s">
        <v>8</v>
      </c>
      <c r="BF7" s="43" t="s">
        <v>7</v>
      </c>
      <c r="BG7" s="43" t="s">
        <v>136</v>
      </c>
    </row>
    <row r="8" spans="1:228" x14ac:dyDescent="0.25">
      <c r="A8" s="12"/>
      <c r="B8" s="16"/>
      <c r="C8" s="8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1"/>
      <c r="BC8" s="18"/>
      <c r="BD8" s="18"/>
      <c r="BE8" s="18"/>
      <c r="BF8" s="18"/>
      <c r="BG8" s="18"/>
    </row>
    <row r="9" spans="1:228" ht="15.6" customHeight="1" x14ac:dyDescent="0.3">
      <c r="A9" s="13"/>
      <c r="B9" s="62" t="s">
        <v>90</v>
      </c>
      <c r="C9" s="62"/>
      <c r="D9" s="62"/>
      <c r="E9" s="62"/>
      <c r="F9" s="62"/>
      <c r="G9" s="62"/>
      <c r="H9" s="63">
        <f t="shared" ref="H9:O9" si="0">SUM(H12:H50)</f>
        <v>38814109.979999989</v>
      </c>
      <c r="I9" s="63">
        <f t="shared" si="0"/>
        <v>39254565.699999996</v>
      </c>
      <c r="J9" s="63">
        <f t="shared" si="0"/>
        <v>2139788.46</v>
      </c>
      <c r="K9" s="63">
        <f t="shared" si="0"/>
        <v>25562188.809999999</v>
      </c>
      <c r="L9" s="63">
        <f t="shared" si="0"/>
        <v>1523394.4599999997</v>
      </c>
      <c r="M9" s="63">
        <f t="shared" si="0"/>
        <v>3453850.6199999996</v>
      </c>
      <c r="N9" s="63">
        <f t="shared" si="0"/>
        <v>1591669.8599999999</v>
      </c>
      <c r="O9" s="63">
        <f t="shared" si="0"/>
        <v>36223223.609999992</v>
      </c>
      <c r="P9" s="68" t="s">
        <v>88</v>
      </c>
      <c r="Q9" s="63">
        <f>SUM(Q12:Q50)</f>
        <v>2511180</v>
      </c>
      <c r="R9" s="63">
        <f>SUM(R12:R50)</f>
        <v>25986164.43</v>
      </c>
      <c r="S9" s="63">
        <f>SUM(S12:S50)</f>
        <v>7810846</v>
      </c>
      <c r="T9" s="68" t="s">
        <v>88</v>
      </c>
      <c r="U9" s="63">
        <f t="shared" ref="U9:AJ9" si="1">SUM(U12:U50)</f>
        <v>2266643.4309999999</v>
      </c>
      <c r="V9" s="63">
        <f t="shared" si="1"/>
        <v>5480605.2999999989</v>
      </c>
      <c r="W9" s="63">
        <f t="shared" si="1"/>
        <v>3050.35</v>
      </c>
      <c r="X9" s="63">
        <f t="shared" si="1"/>
        <v>393071.04000000004</v>
      </c>
      <c r="Y9" s="63">
        <f t="shared" si="1"/>
        <v>25867.239999999998</v>
      </c>
      <c r="Z9" s="63">
        <f t="shared" si="1"/>
        <v>11852.919999999998</v>
      </c>
      <c r="AA9" s="63">
        <f t="shared" si="1"/>
        <v>67161.84</v>
      </c>
      <c r="AB9" s="63">
        <f t="shared" si="1"/>
        <v>106923.6</v>
      </c>
      <c r="AC9" s="63">
        <f t="shared" si="1"/>
        <v>32067.190000000002</v>
      </c>
      <c r="AD9" s="63">
        <f t="shared" si="1"/>
        <v>102141.1</v>
      </c>
      <c r="AE9" s="63">
        <f t="shared" si="1"/>
        <v>68255.92</v>
      </c>
      <c r="AF9" s="63">
        <f t="shared" si="1"/>
        <v>21086.839999999997</v>
      </c>
      <c r="AG9" s="63">
        <f t="shared" si="1"/>
        <v>5722.24</v>
      </c>
      <c r="AH9" s="63">
        <f t="shared" si="1"/>
        <v>10397.959999999999</v>
      </c>
      <c r="AI9" s="63">
        <f t="shared" si="1"/>
        <v>156139.85</v>
      </c>
      <c r="AJ9" s="63">
        <f t="shared" si="1"/>
        <v>986625.61999999988</v>
      </c>
      <c r="AK9" s="68" t="s">
        <v>88</v>
      </c>
      <c r="AL9" s="63">
        <f t="shared" ref="AL9:BG9" si="2">SUM(AL12:AL50)</f>
        <v>0</v>
      </c>
      <c r="AM9" s="63">
        <f t="shared" si="2"/>
        <v>1644745.5599999998</v>
      </c>
      <c r="AN9" s="63">
        <f t="shared" si="2"/>
        <v>1610.9974999999558</v>
      </c>
      <c r="AO9" s="63">
        <f t="shared" si="2"/>
        <v>30096.799999999999</v>
      </c>
      <c r="AP9" s="63">
        <f t="shared" si="2"/>
        <v>362012.64999999997</v>
      </c>
      <c r="AQ9" s="63">
        <f t="shared" si="2"/>
        <v>131.829999999987</v>
      </c>
      <c r="AR9" s="64">
        <f t="shared" si="2"/>
        <v>0</v>
      </c>
      <c r="AS9" s="64">
        <f t="shared" si="2"/>
        <v>0</v>
      </c>
      <c r="AT9" s="64">
        <f t="shared" si="2"/>
        <v>967</v>
      </c>
      <c r="AU9" s="64">
        <f t="shared" si="2"/>
        <v>194</v>
      </c>
      <c r="AV9" s="64">
        <f t="shared" si="2"/>
        <v>28</v>
      </c>
      <c r="AW9" s="64">
        <f t="shared" si="2"/>
        <v>-33</v>
      </c>
      <c r="AX9" s="64">
        <f t="shared" si="2"/>
        <v>-139</v>
      </c>
      <c r="AY9" s="64">
        <f t="shared" si="2"/>
        <v>-154</v>
      </c>
      <c r="AZ9" s="64">
        <f t="shared" si="2"/>
        <v>0</v>
      </c>
      <c r="BA9" s="64">
        <f t="shared" si="2"/>
        <v>863</v>
      </c>
      <c r="BB9" s="64">
        <f t="shared" si="2"/>
        <v>25</v>
      </c>
      <c r="BC9" s="64">
        <f t="shared" si="2"/>
        <v>28</v>
      </c>
      <c r="BD9" s="64">
        <f t="shared" si="2"/>
        <v>11</v>
      </c>
      <c r="BE9" s="64">
        <f t="shared" si="2"/>
        <v>54</v>
      </c>
      <c r="BF9" s="64">
        <f t="shared" si="2"/>
        <v>38</v>
      </c>
      <c r="BG9" s="64">
        <f t="shared" si="2"/>
        <v>18</v>
      </c>
    </row>
    <row r="10" spans="1:228" ht="15.6" x14ac:dyDescent="0.3">
      <c r="A10" s="13"/>
      <c r="B10" s="62" t="s">
        <v>89</v>
      </c>
      <c r="C10" s="62"/>
      <c r="D10" s="62"/>
      <c r="E10" s="62"/>
      <c r="F10" s="62"/>
      <c r="G10" s="62"/>
      <c r="H10" s="63">
        <f t="shared" ref="H10:AJ10" si="3">AVERAGE(H12:H50)</f>
        <v>995233.58923076896</v>
      </c>
      <c r="I10" s="63">
        <f t="shared" si="3"/>
        <v>1006527.3256410256</v>
      </c>
      <c r="J10" s="63">
        <f t="shared" si="3"/>
        <v>54866.370769230765</v>
      </c>
      <c r="K10" s="63">
        <f t="shared" si="3"/>
        <v>655440.73871794867</v>
      </c>
      <c r="L10" s="63">
        <f t="shared" si="3"/>
        <v>39061.396410256406</v>
      </c>
      <c r="M10" s="63">
        <f t="shared" si="3"/>
        <v>88560.272307692299</v>
      </c>
      <c r="N10" s="63">
        <f t="shared" si="3"/>
        <v>40812.047692307686</v>
      </c>
      <c r="O10" s="63">
        <f t="shared" si="3"/>
        <v>928800.60538461513</v>
      </c>
      <c r="P10" s="65">
        <f t="shared" si="3"/>
        <v>1.2045955137912543</v>
      </c>
      <c r="Q10" s="63">
        <f t="shared" si="3"/>
        <v>64389.230769230766</v>
      </c>
      <c r="R10" s="63">
        <f t="shared" si="3"/>
        <v>666311.90846153849</v>
      </c>
      <c r="S10" s="63">
        <f t="shared" si="3"/>
        <v>200278.10256410256</v>
      </c>
      <c r="T10" s="66">
        <f t="shared" si="3"/>
        <v>7.2254731163914759E-2</v>
      </c>
      <c r="U10" s="63">
        <f t="shared" si="3"/>
        <v>58119.062333333328</v>
      </c>
      <c r="V10" s="63">
        <f t="shared" si="3"/>
        <v>140528.34102564098</v>
      </c>
      <c r="W10" s="63">
        <f t="shared" si="3"/>
        <v>78.214102564102561</v>
      </c>
      <c r="X10" s="63">
        <f t="shared" si="3"/>
        <v>10078.744615384616</v>
      </c>
      <c r="Y10" s="63">
        <f t="shared" si="3"/>
        <v>663.26256410256406</v>
      </c>
      <c r="Z10" s="63">
        <f t="shared" si="3"/>
        <v>303.92102564102561</v>
      </c>
      <c r="AA10" s="63">
        <f t="shared" si="3"/>
        <v>1722.0984615384614</v>
      </c>
      <c r="AB10" s="63">
        <f t="shared" si="3"/>
        <v>2741.6307692307696</v>
      </c>
      <c r="AC10" s="63">
        <f t="shared" si="3"/>
        <v>822.23564102564103</v>
      </c>
      <c r="AD10" s="63">
        <f t="shared" si="3"/>
        <v>2619.0025641025641</v>
      </c>
      <c r="AE10" s="63">
        <f t="shared" si="3"/>
        <v>1750.1517948717949</v>
      </c>
      <c r="AF10" s="63">
        <f t="shared" si="3"/>
        <v>540.68820512820503</v>
      </c>
      <c r="AG10" s="63">
        <f t="shared" si="3"/>
        <v>146.72410256410257</v>
      </c>
      <c r="AH10" s="63">
        <f t="shared" si="3"/>
        <v>266.61435897435894</v>
      </c>
      <c r="AI10" s="63">
        <f t="shared" si="3"/>
        <v>4003.5858974358976</v>
      </c>
      <c r="AJ10" s="63">
        <f t="shared" si="3"/>
        <v>25298.092820512818</v>
      </c>
      <c r="AK10" s="67">
        <f>AI9/AJ9</f>
        <v>0.15825643165438985</v>
      </c>
      <c r="AL10" s="63">
        <f t="shared" ref="AL10:BG10" si="4">AVERAGE(AL12:AL50)</f>
        <v>0</v>
      </c>
      <c r="AM10" s="63">
        <f t="shared" si="4"/>
        <v>42172.963076923072</v>
      </c>
      <c r="AN10" s="63">
        <f t="shared" si="4"/>
        <v>41.307628205127074</v>
      </c>
      <c r="AO10" s="63">
        <f t="shared" si="4"/>
        <v>771.71282051282049</v>
      </c>
      <c r="AP10" s="63">
        <f t="shared" si="4"/>
        <v>9282.375641025641</v>
      </c>
      <c r="AQ10" s="63">
        <f t="shared" si="4"/>
        <v>3.3802564102560768</v>
      </c>
      <c r="AR10" s="64">
        <f t="shared" si="4"/>
        <v>0</v>
      </c>
      <c r="AS10" s="64">
        <f t="shared" si="4"/>
        <v>0</v>
      </c>
      <c r="AT10" s="64">
        <f t="shared" si="4"/>
        <v>24.794871794871796</v>
      </c>
      <c r="AU10" s="64">
        <f t="shared" si="4"/>
        <v>4.9743589743589745</v>
      </c>
      <c r="AV10" s="64">
        <f t="shared" si="4"/>
        <v>0.71794871794871795</v>
      </c>
      <c r="AW10" s="64">
        <f t="shared" si="4"/>
        <v>-0.84615384615384615</v>
      </c>
      <c r="AX10" s="64">
        <f t="shared" si="4"/>
        <v>-3.5641025641025643</v>
      </c>
      <c r="AY10" s="64">
        <f t="shared" si="4"/>
        <v>-3.9487179487179489</v>
      </c>
      <c r="AZ10" s="64">
        <f t="shared" si="4"/>
        <v>0</v>
      </c>
      <c r="BA10" s="64">
        <f t="shared" si="4"/>
        <v>22.128205128205128</v>
      </c>
      <c r="BB10" s="64">
        <f t="shared" si="4"/>
        <v>0.64102564102564108</v>
      </c>
      <c r="BC10" s="64">
        <f t="shared" si="4"/>
        <v>0.71794871794871795</v>
      </c>
      <c r="BD10" s="64">
        <f t="shared" si="4"/>
        <v>0.28205128205128205</v>
      </c>
      <c r="BE10" s="64">
        <f t="shared" si="4"/>
        <v>1.3846153846153846</v>
      </c>
      <c r="BF10" s="64">
        <f t="shared" si="4"/>
        <v>0.97435897435897434</v>
      </c>
      <c r="BG10" s="64">
        <f t="shared" si="4"/>
        <v>0.46153846153846156</v>
      </c>
    </row>
    <row r="11" spans="1:228" x14ac:dyDescent="0.25">
      <c r="A11" s="1" t="s">
        <v>0</v>
      </c>
      <c r="B11" s="1"/>
      <c r="C11" s="4" t="s">
        <v>0</v>
      </c>
      <c r="D11" s="1" t="s">
        <v>0</v>
      </c>
      <c r="E11" s="1"/>
      <c r="F11" s="1"/>
      <c r="G11" s="1"/>
      <c r="H11" s="3"/>
      <c r="I11" s="3"/>
      <c r="J11" s="3"/>
      <c r="K11" s="3"/>
      <c r="L11" s="3"/>
      <c r="M11" s="3"/>
      <c r="N11" s="3"/>
      <c r="O11" s="3"/>
      <c r="P11" s="5"/>
      <c r="Q11" s="5"/>
      <c r="R11" s="5"/>
      <c r="S11" s="6"/>
      <c r="T11" s="6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7"/>
      <c r="AJ11" s="3"/>
      <c r="AK11" s="7" t="s"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228" ht="15.6" x14ac:dyDescent="0.3">
      <c r="A12" s="30">
        <v>2</v>
      </c>
      <c r="B12" s="31" t="s">
        <v>153</v>
      </c>
      <c r="C12" s="31" t="s">
        <v>75</v>
      </c>
      <c r="D12" s="57" t="s">
        <v>186</v>
      </c>
      <c r="E12" s="57"/>
      <c r="F12" s="57"/>
      <c r="G12" s="32" t="s">
        <v>139</v>
      </c>
      <c r="H12" s="96">
        <v>349957</v>
      </c>
      <c r="I12" s="96">
        <v>349988</v>
      </c>
      <c r="J12" s="96">
        <v>0</v>
      </c>
      <c r="K12" s="96">
        <v>306136</v>
      </c>
      <c r="L12" s="97">
        <v>0</v>
      </c>
      <c r="M12" s="97">
        <v>12504</v>
      </c>
      <c r="N12" s="97">
        <v>3782</v>
      </c>
      <c r="O12" s="96">
        <v>350464</v>
      </c>
      <c r="P12" s="143">
        <v>0.32433001262803401</v>
      </c>
      <c r="Q12" s="129">
        <v>70049</v>
      </c>
      <c r="R12" s="96">
        <v>280415</v>
      </c>
      <c r="S12" s="96">
        <v>0</v>
      </c>
      <c r="T12" s="99">
        <v>0.1</v>
      </c>
      <c r="U12" s="96">
        <v>28041.5</v>
      </c>
      <c r="V12" s="96">
        <v>0</v>
      </c>
      <c r="W12" s="96">
        <v>37</v>
      </c>
      <c r="X12" s="96">
        <v>0</v>
      </c>
      <c r="Y12" s="97">
        <v>0</v>
      </c>
      <c r="Z12" s="97">
        <v>0</v>
      </c>
      <c r="AA12" s="97">
        <v>0</v>
      </c>
      <c r="AB12" s="97">
        <v>4200</v>
      </c>
      <c r="AC12" s="97">
        <v>1200</v>
      </c>
      <c r="AD12" s="97">
        <v>0</v>
      </c>
      <c r="AE12" s="97">
        <v>0</v>
      </c>
      <c r="AF12" s="97">
        <v>0</v>
      </c>
      <c r="AG12" s="96">
        <v>0</v>
      </c>
      <c r="AH12" s="97">
        <v>0</v>
      </c>
      <c r="AI12" s="96">
        <v>0</v>
      </c>
      <c r="AJ12" s="96">
        <v>5600</v>
      </c>
      <c r="AK12" s="100">
        <f t="shared" ref="AK12:AK50" si="5">IF(AJ12=0,0,AI12/AJ12)</f>
        <v>0</v>
      </c>
      <c r="AL12" s="96">
        <v>0</v>
      </c>
      <c r="AM12" s="96">
        <v>17498</v>
      </c>
      <c r="AN12" s="96">
        <v>0</v>
      </c>
      <c r="AO12" s="96">
        <v>0</v>
      </c>
      <c r="AP12" s="96">
        <v>5508</v>
      </c>
      <c r="AQ12" s="96">
        <v>0</v>
      </c>
      <c r="AR12" s="96">
        <v>0</v>
      </c>
      <c r="AS12" s="96">
        <v>0</v>
      </c>
      <c r="AT12" s="101">
        <v>13</v>
      </c>
      <c r="AU12" s="101">
        <v>3</v>
      </c>
      <c r="AV12" s="101">
        <v>0</v>
      </c>
      <c r="AW12" s="101">
        <v>-2</v>
      </c>
      <c r="AX12" s="101">
        <v>0</v>
      </c>
      <c r="AY12" s="101">
        <v>-2</v>
      </c>
      <c r="AZ12" s="101">
        <v>0</v>
      </c>
      <c r="BA12" s="102">
        <f t="shared" ref="BA12:BA21" si="6">SUM(AT12:AZ12)</f>
        <v>12</v>
      </c>
      <c r="BB12" s="96">
        <v>0</v>
      </c>
      <c r="BC12" s="96">
        <v>0</v>
      </c>
      <c r="BD12" s="96">
        <v>1</v>
      </c>
      <c r="BE12" s="97">
        <v>1</v>
      </c>
      <c r="BF12" s="97">
        <v>0</v>
      </c>
      <c r="BG12" s="97">
        <v>0</v>
      </c>
    </row>
    <row r="13" spans="1:228" s="27" customFormat="1" ht="15.6" x14ac:dyDescent="0.3">
      <c r="A13" s="33">
        <v>2</v>
      </c>
      <c r="B13" s="34" t="s">
        <v>154</v>
      </c>
      <c r="C13" s="34" t="s">
        <v>82</v>
      </c>
      <c r="D13" s="57" t="s">
        <v>187</v>
      </c>
      <c r="E13" s="57"/>
      <c r="F13" s="57" t="s">
        <v>188</v>
      </c>
      <c r="G13" s="35" t="s">
        <v>94</v>
      </c>
      <c r="H13" s="97">
        <v>2221686</v>
      </c>
      <c r="I13" s="97">
        <v>2221686</v>
      </c>
      <c r="J13" s="97">
        <v>147474</v>
      </c>
      <c r="K13" s="97">
        <v>1625656</v>
      </c>
      <c r="L13" s="97">
        <v>116209</v>
      </c>
      <c r="M13" s="97">
        <v>196102</v>
      </c>
      <c r="N13" s="97">
        <v>83755</v>
      </c>
      <c r="O13" s="97">
        <v>2183135</v>
      </c>
      <c r="P13" s="126">
        <v>1.83</v>
      </c>
      <c r="Q13" s="105">
        <f>2183135-2147531</f>
        <v>35604</v>
      </c>
      <c r="R13" s="97">
        <f>1361625+222847</f>
        <v>1584472</v>
      </c>
      <c r="S13" s="97">
        <v>563059</v>
      </c>
      <c r="T13" s="103">
        <v>6.5207390254203551E-2</v>
      </c>
      <c r="U13" s="97">
        <v>139714.89199999999</v>
      </c>
      <c r="V13" s="97">
        <v>0</v>
      </c>
      <c r="W13" s="97">
        <v>15</v>
      </c>
      <c r="X13" s="97">
        <v>4092</v>
      </c>
      <c r="Y13" s="97">
        <v>0</v>
      </c>
      <c r="Z13" s="97">
        <v>0</v>
      </c>
      <c r="AA13" s="97">
        <v>552</v>
      </c>
      <c r="AB13" s="97">
        <v>13275</v>
      </c>
      <c r="AC13" s="97">
        <v>1593</v>
      </c>
      <c r="AD13" s="97">
        <v>9202</v>
      </c>
      <c r="AE13" s="97">
        <v>168</v>
      </c>
      <c r="AF13" s="97">
        <v>762</v>
      </c>
      <c r="AG13" s="97">
        <v>0</v>
      </c>
      <c r="AH13" s="97">
        <v>0</v>
      </c>
      <c r="AI13" s="97">
        <v>6687</v>
      </c>
      <c r="AJ13" s="97">
        <v>30991</v>
      </c>
      <c r="AK13" s="104">
        <f t="shared" si="5"/>
        <v>0.21577232099641833</v>
      </c>
      <c r="AL13" s="97">
        <v>0</v>
      </c>
      <c r="AM13" s="97">
        <v>103711</v>
      </c>
      <c r="AN13" s="97">
        <v>0</v>
      </c>
      <c r="AO13" s="97">
        <v>0</v>
      </c>
      <c r="AP13" s="97">
        <v>15627.33</v>
      </c>
      <c r="AQ13" s="97">
        <v>131.829999999987</v>
      </c>
      <c r="AR13" s="97">
        <v>0</v>
      </c>
      <c r="AS13" s="97">
        <v>0</v>
      </c>
      <c r="AT13" s="105">
        <v>37</v>
      </c>
      <c r="AU13" s="105">
        <v>9</v>
      </c>
      <c r="AV13" s="105">
        <v>6</v>
      </c>
      <c r="AW13" s="105">
        <v>0</v>
      </c>
      <c r="AX13" s="105">
        <v>-12</v>
      </c>
      <c r="AY13" s="105">
        <v>-7</v>
      </c>
      <c r="AZ13" s="105">
        <v>0</v>
      </c>
      <c r="BA13" s="106">
        <f t="shared" si="6"/>
        <v>33</v>
      </c>
      <c r="BB13" s="97">
        <v>0</v>
      </c>
      <c r="BC13" s="97">
        <v>0</v>
      </c>
      <c r="BD13" s="97">
        <v>1</v>
      </c>
      <c r="BE13" s="97">
        <v>1</v>
      </c>
      <c r="BF13" s="97">
        <v>0</v>
      </c>
      <c r="BG13" s="97">
        <v>1</v>
      </c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</row>
    <row r="14" spans="1:228" s="27" customFormat="1" ht="15.6" x14ac:dyDescent="0.3">
      <c r="A14" s="33">
        <v>5</v>
      </c>
      <c r="B14" s="34" t="s">
        <v>155</v>
      </c>
      <c r="C14" s="34" t="s">
        <v>66</v>
      </c>
      <c r="D14" s="57" t="s">
        <v>189</v>
      </c>
      <c r="E14" s="57"/>
      <c r="F14" s="57" t="s">
        <v>190</v>
      </c>
      <c r="G14" s="35" t="s">
        <v>87</v>
      </c>
      <c r="H14" s="97">
        <v>717963</v>
      </c>
      <c r="I14" s="97">
        <v>717963</v>
      </c>
      <c r="J14" s="97">
        <v>20372</v>
      </c>
      <c r="K14" s="97">
        <v>552009</v>
      </c>
      <c r="L14" s="97">
        <v>18680</v>
      </c>
      <c r="M14" s="97">
        <v>59400</v>
      </c>
      <c r="N14" s="97">
        <v>2500</v>
      </c>
      <c r="O14" s="97">
        <v>705151</v>
      </c>
      <c r="P14" s="126">
        <v>1</v>
      </c>
      <c r="Q14" s="105">
        <f>705151-662023</f>
        <v>43128</v>
      </c>
      <c r="R14" s="97">
        <v>662033</v>
      </c>
      <c r="S14" s="97">
        <v>0</v>
      </c>
      <c r="T14" s="103">
        <v>0.1</v>
      </c>
      <c r="U14" s="97">
        <v>67262.3</v>
      </c>
      <c r="V14" s="97">
        <v>0</v>
      </c>
      <c r="W14" s="97">
        <v>0</v>
      </c>
      <c r="X14" s="97">
        <v>12578</v>
      </c>
      <c r="Y14" s="97">
        <v>1266</v>
      </c>
      <c r="Z14" s="97">
        <v>0</v>
      </c>
      <c r="AA14" s="97">
        <v>0</v>
      </c>
      <c r="AB14" s="97">
        <v>13900</v>
      </c>
      <c r="AC14" s="97">
        <v>893</v>
      </c>
      <c r="AD14" s="97">
        <v>5600</v>
      </c>
      <c r="AE14" s="97">
        <v>955</v>
      </c>
      <c r="AF14" s="97">
        <v>750</v>
      </c>
      <c r="AG14" s="97">
        <v>0</v>
      </c>
      <c r="AH14" s="97">
        <v>0</v>
      </c>
      <c r="AI14" s="97">
        <v>0</v>
      </c>
      <c r="AJ14" s="97">
        <v>38764</v>
      </c>
      <c r="AK14" s="104">
        <f t="shared" si="5"/>
        <v>0</v>
      </c>
      <c r="AL14" s="97">
        <v>0</v>
      </c>
      <c r="AM14" s="97">
        <v>36325</v>
      </c>
      <c r="AN14" s="97">
        <v>1068.45</v>
      </c>
      <c r="AO14" s="97">
        <v>0</v>
      </c>
      <c r="AP14" s="97">
        <v>35137</v>
      </c>
      <c r="AQ14" s="97">
        <v>0</v>
      </c>
      <c r="AR14" s="97">
        <v>0</v>
      </c>
      <c r="AS14" s="97">
        <v>0</v>
      </c>
      <c r="AT14" s="105">
        <v>21</v>
      </c>
      <c r="AU14" s="105">
        <v>3</v>
      </c>
      <c r="AV14" s="105">
        <v>0</v>
      </c>
      <c r="AW14" s="105">
        <v>-2</v>
      </c>
      <c r="AX14" s="105">
        <v>-2</v>
      </c>
      <c r="AY14" s="105">
        <v>-10</v>
      </c>
      <c r="AZ14" s="105">
        <v>0</v>
      </c>
      <c r="BA14" s="106">
        <f t="shared" si="6"/>
        <v>10</v>
      </c>
      <c r="BB14" s="97">
        <v>0</v>
      </c>
      <c r="BC14" s="97">
        <v>0</v>
      </c>
      <c r="BD14" s="97">
        <v>0</v>
      </c>
      <c r="BE14" s="97">
        <v>7</v>
      </c>
      <c r="BF14" s="97">
        <v>0</v>
      </c>
      <c r="BG14" s="97">
        <v>2</v>
      </c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</row>
    <row r="15" spans="1:228" s="27" customFormat="1" ht="15.6" x14ac:dyDescent="0.3">
      <c r="A15" s="33">
        <v>5</v>
      </c>
      <c r="B15" s="34" t="s">
        <v>254</v>
      </c>
      <c r="C15" s="34" t="s">
        <v>108</v>
      </c>
      <c r="D15" s="57" t="s">
        <v>237</v>
      </c>
      <c r="E15" s="57"/>
      <c r="F15" s="57" t="s">
        <v>191</v>
      </c>
      <c r="G15" s="35" t="s">
        <v>78</v>
      </c>
      <c r="H15" s="106">
        <v>2147317</v>
      </c>
      <c r="I15" s="106">
        <v>2152381</v>
      </c>
      <c r="J15" s="106">
        <v>11326</v>
      </c>
      <c r="K15" s="106">
        <v>311056</v>
      </c>
      <c r="L15" s="106">
        <v>0</v>
      </c>
      <c r="M15" s="106">
        <v>33171</v>
      </c>
      <c r="N15" s="106">
        <v>22567</v>
      </c>
      <c r="O15" s="106">
        <v>1651546</v>
      </c>
      <c r="P15" s="107">
        <v>4</v>
      </c>
      <c r="Q15" s="110">
        <f>1651546-402775</f>
        <v>1248771</v>
      </c>
      <c r="R15" s="106">
        <v>356501</v>
      </c>
      <c r="S15" s="108">
        <v>46274</v>
      </c>
      <c r="T15" s="109">
        <f>37038/402775</f>
        <v>9.1957047979641243E-2</v>
      </c>
      <c r="U15" s="106">
        <v>37038</v>
      </c>
      <c r="V15" s="106">
        <v>25566</v>
      </c>
      <c r="W15" s="106">
        <f>1632+174+48</f>
        <v>1854</v>
      </c>
      <c r="X15" s="106">
        <v>0</v>
      </c>
      <c r="Y15" s="106">
        <v>0</v>
      </c>
      <c r="Z15" s="106">
        <v>0</v>
      </c>
      <c r="AA15" s="106">
        <v>7142</v>
      </c>
      <c r="AB15" s="106">
        <v>0</v>
      </c>
      <c r="AC15" s="106">
        <v>0</v>
      </c>
      <c r="AD15" s="106">
        <v>29507</v>
      </c>
      <c r="AE15" s="106">
        <f>1476+414+415</f>
        <v>2305</v>
      </c>
      <c r="AF15" s="106">
        <v>0</v>
      </c>
      <c r="AG15" s="106">
        <v>0</v>
      </c>
      <c r="AH15" s="106">
        <v>0</v>
      </c>
      <c r="AI15" s="106">
        <v>0</v>
      </c>
      <c r="AJ15" s="106">
        <v>44336</v>
      </c>
      <c r="AK15" s="100">
        <f t="shared" si="5"/>
        <v>0</v>
      </c>
      <c r="AL15" s="106">
        <v>0</v>
      </c>
      <c r="AM15" s="106">
        <v>21612</v>
      </c>
      <c r="AN15" s="106">
        <v>0</v>
      </c>
      <c r="AO15" s="106">
        <v>0</v>
      </c>
      <c r="AP15" s="106">
        <v>2312</v>
      </c>
      <c r="AQ15" s="106">
        <v>0</v>
      </c>
      <c r="AR15" s="106">
        <v>0</v>
      </c>
      <c r="AS15" s="106">
        <v>0</v>
      </c>
      <c r="AT15" s="106">
        <v>27</v>
      </c>
      <c r="AU15" s="106">
        <v>4</v>
      </c>
      <c r="AV15" s="110">
        <v>0</v>
      </c>
      <c r="AW15" s="110">
        <v>-2</v>
      </c>
      <c r="AX15" s="110">
        <v>-3</v>
      </c>
      <c r="AY15" s="110">
        <v>-2</v>
      </c>
      <c r="AZ15" s="110">
        <v>0</v>
      </c>
      <c r="BA15" s="106">
        <f t="shared" si="6"/>
        <v>24</v>
      </c>
      <c r="BB15" s="106">
        <v>0</v>
      </c>
      <c r="BC15" s="106">
        <v>0</v>
      </c>
      <c r="BD15" s="106">
        <v>1</v>
      </c>
      <c r="BE15" s="106">
        <v>0</v>
      </c>
      <c r="BF15" s="106">
        <v>0</v>
      </c>
      <c r="BG15" s="106">
        <v>1</v>
      </c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</row>
    <row r="16" spans="1:228" s="74" customFormat="1" ht="15.6" x14ac:dyDescent="0.3">
      <c r="A16" s="69">
        <v>6</v>
      </c>
      <c r="B16" s="70" t="s">
        <v>255</v>
      </c>
      <c r="C16" s="70" t="s">
        <v>248</v>
      </c>
      <c r="D16" s="71" t="s">
        <v>192</v>
      </c>
      <c r="E16" s="71"/>
      <c r="F16" s="71" t="s">
        <v>193</v>
      </c>
      <c r="G16" s="72" t="s">
        <v>135</v>
      </c>
      <c r="H16" s="111">
        <v>320814</v>
      </c>
      <c r="I16" s="111">
        <v>320814</v>
      </c>
      <c r="J16" s="111">
        <v>116659</v>
      </c>
      <c r="K16" s="111">
        <v>287681</v>
      </c>
      <c r="L16" s="111">
        <v>2599</v>
      </c>
      <c r="M16" s="111">
        <v>9986</v>
      </c>
      <c r="N16" s="111">
        <v>0</v>
      </c>
      <c r="O16" s="111">
        <v>321957</v>
      </c>
      <c r="P16" s="112">
        <v>0.47</v>
      </c>
      <c r="Q16" s="114">
        <f>321957-438616</f>
        <v>-116659</v>
      </c>
      <c r="R16" s="111">
        <f>177583+129952</f>
        <v>307535</v>
      </c>
      <c r="S16" s="111">
        <v>131081</v>
      </c>
      <c r="T16" s="113">
        <f>21691/438616</f>
        <v>4.9453280318091451E-2</v>
      </c>
      <c r="U16" s="111">
        <v>21691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  <c r="AC16" s="111">
        <v>0</v>
      </c>
      <c r="AD16" s="111">
        <v>0</v>
      </c>
      <c r="AE16" s="111">
        <v>0</v>
      </c>
      <c r="AF16" s="111">
        <v>397</v>
      </c>
      <c r="AG16" s="111">
        <v>0</v>
      </c>
      <c r="AH16" s="111">
        <v>0</v>
      </c>
      <c r="AI16" s="111">
        <v>0</v>
      </c>
      <c r="AJ16" s="111">
        <v>1997</v>
      </c>
      <c r="AK16" s="100">
        <f t="shared" si="5"/>
        <v>0</v>
      </c>
      <c r="AL16" s="111">
        <v>0</v>
      </c>
      <c r="AM16" s="111">
        <v>0</v>
      </c>
      <c r="AN16" s="111">
        <v>0</v>
      </c>
      <c r="AO16" s="111">
        <v>0</v>
      </c>
      <c r="AP16" s="111">
        <v>29717</v>
      </c>
      <c r="AQ16" s="111">
        <v>0</v>
      </c>
      <c r="AR16" s="111">
        <v>0</v>
      </c>
      <c r="AS16" s="111">
        <v>0</v>
      </c>
      <c r="AT16" s="111">
        <v>6</v>
      </c>
      <c r="AU16" s="111">
        <v>1</v>
      </c>
      <c r="AV16" s="114">
        <v>-2</v>
      </c>
      <c r="AW16" s="114">
        <v>0</v>
      </c>
      <c r="AX16" s="114">
        <v>0</v>
      </c>
      <c r="AY16" s="114">
        <v>-1</v>
      </c>
      <c r="AZ16" s="114">
        <v>0</v>
      </c>
      <c r="BA16" s="111">
        <f t="shared" si="6"/>
        <v>4</v>
      </c>
      <c r="BB16" s="111">
        <v>1</v>
      </c>
      <c r="BC16" s="111">
        <v>0</v>
      </c>
      <c r="BD16" s="111">
        <v>0</v>
      </c>
      <c r="BE16" s="111">
        <v>0</v>
      </c>
      <c r="BF16" s="111">
        <v>0</v>
      </c>
      <c r="BG16" s="111">
        <v>0</v>
      </c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</row>
    <row r="17" spans="1:228" s="28" customFormat="1" ht="15.6" x14ac:dyDescent="0.3">
      <c r="A17" s="33">
        <v>6</v>
      </c>
      <c r="B17" s="34" t="s">
        <v>245</v>
      </c>
      <c r="C17" s="34" t="s">
        <v>249</v>
      </c>
      <c r="D17" s="57" t="s">
        <v>194</v>
      </c>
      <c r="E17" s="57"/>
      <c r="F17" s="57" t="s">
        <v>188</v>
      </c>
      <c r="G17" s="35" t="s">
        <v>135</v>
      </c>
      <c r="H17" s="115">
        <v>717879</v>
      </c>
      <c r="I17" s="115">
        <v>796800</v>
      </c>
      <c r="J17" s="115">
        <v>30412</v>
      </c>
      <c r="K17" s="115">
        <v>468172</v>
      </c>
      <c r="L17" s="115">
        <v>38297</v>
      </c>
      <c r="M17" s="115">
        <v>142225</v>
      </c>
      <c r="N17" s="115">
        <v>39768</v>
      </c>
      <c r="O17" s="115">
        <v>750922</v>
      </c>
      <c r="P17" s="116">
        <v>2.2396905160724301</v>
      </c>
      <c r="Q17" s="117">
        <f>750922-748981</f>
        <v>1941</v>
      </c>
      <c r="R17" s="115">
        <v>543563</v>
      </c>
      <c r="S17" s="115">
        <v>205418</v>
      </c>
      <c r="T17" s="138">
        <v>8.0801569065169873E-2</v>
      </c>
      <c r="U17" s="115">
        <v>60518.84</v>
      </c>
      <c r="V17" s="115">
        <v>19413</v>
      </c>
      <c r="W17" s="115">
        <v>101</v>
      </c>
      <c r="X17" s="115">
        <v>0</v>
      </c>
      <c r="Y17" s="115">
        <v>0</v>
      </c>
      <c r="Z17" s="115">
        <v>0</v>
      </c>
      <c r="AA17" s="115">
        <v>0</v>
      </c>
      <c r="AB17" s="115">
        <v>14669</v>
      </c>
      <c r="AC17" s="115">
        <v>3900</v>
      </c>
      <c r="AD17" s="115">
        <v>3600</v>
      </c>
      <c r="AE17" s="115">
        <v>3960</v>
      </c>
      <c r="AF17" s="115">
        <v>3018</v>
      </c>
      <c r="AG17" s="115">
        <v>0</v>
      </c>
      <c r="AH17" s="115">
        <v>3541</v>
      </c>
      <c r="AI17" s="115">
        <v>0</v>
      </c>
      <c r="AJ17" s="115">
        <v>48779</v>
      </c>
      <c r="AK17" s="104">
        <f t="shared" si="5"/>
        <v>0</v>
      </c>
      <c r="AL17" s="117">
        <v>0</v>
      </c>
      <c r="AM17" s="117">
        <v>36797</v>
      </c>
      <c r="AN17" s="117">
        <v>0</v>
      </c>
      <c r="AO17" s="117">
        <v>0</v>
      </c>
      <c r="AP17" s="117">
        <v>18731</v>
      </c>
      <c r="AQ17" s="117">
        <v>0</v>
      </c>
      <c r="AR17" s="117">
        <v>0</v>
      </c>
      <c r="AS17" s="117">
        <v>0</v>
      </c>
      <c r="AT17" s="117">
        <v>24</v>
      </c>
      <c r="AU17" s="117">
        <v>6</v>
      </c>
      <c r="AV17" s="117">
        <v>3</v>
      </c>
      <c r="AW17" s="117">
        <v>-1</v>
      </c>
      <c r="AX17" s="117">
        <v>-4</v>
      </c>
      <c r="AY17" s="117">
        <v>-4</v>
      </c>
      <c r="AZ17" s="117">
        <v>0</v>
      </c>
      <c r="BA17" s="118">
        <f t="shared" si="6"/>
        <v>24</v>
      </c>
      <c r="BB17" s="115">
        <v>0</v>
      </c>
      <c r="BC17" s="115">
        <v>0</v>
      </c>
      <c r="BD17" s="115">
        <v>0</v>
      </c>
      <c r="BE17" s="115">
        <v>1</v>
      </c>
      <c r="BF17" s="115">
        <v>2</v>
      </c>
      <c r="BG17" s="115">
        <v>1</v>
      </c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</row>
    <row r="18" spans="1:228" s="27" customFormat="1" ht="15.6" x14ac:dyDescent="0.3">
      <c r="A18" s="33">
        <v>7</v>
      </c>
      <c r="B18" s="34" t="s">
        <v>156</v>
      </c>
      <c r="C18" s="34" t="s">
        <v>62</v>
      </c>
      <c r="D18" s="57" t="s">
        <v>195</v>
      </c>
      <c r="E18" s="57"/>
      <c r="F18" s="57" t="s">
        <v>196</v>
      </c>
      <c r="G18" s="35" t="s">
        <v>135</v>
      </c>
      <c r="H18" s="119">
        <v>106635.72</v>
      </c>
      <c r="I18" s="119">
        <v>106641.97</v>
      </c>
      <c r="J18" s="119">
        <v>0</v>
      </c>
      <c r="K18" s="119">
        <v>86858.31</v>
      </c>
      <c r="L18" s="120">
        <v>0</v>
      </c>
      <c r="M18" s="120">
        <v>11062.92</v>
      </c>
      <c r="N18" s="120">
        <v>1250</v>
      </c>
      <c r="O18" s="119">
        <v>106635.23</v>
      </c>
      <c r="P18" s="144">
        <v>0</v>
      </c>
      <c r="Q18" s="142">
        <v>0</v>
      </c>
      <c r="R18" s="119">
        <v>106635</v>
      </c>
      <c r="S18" s="119">
        <v>0</v>
      </c>
      <c r="T18" s="121">
        <v>6.9999999999999993E-2</v>
      </c>
      <c r="U18" s="119">
        <v>7464.45</v>
      </c>
      <c r="V18" s="119">
        <v>0</v>
      </c>
      <c r="W18" s="119">
        <v>16.829999999999998</v>
      </c>
      <c r="X18" s="119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55</v>
      </c>
      <c r="AG18" s="119">
        <v>0</v>
      </c>
      <c r="AH18" s="120">
        <v>0</v>
      </c>
      <c r="AI18" s="119">
        <v>0</v>
      </c>
      <c r="AJ18" s="119">
        <v>4076.61</v>
      </c>
      <c r="AK18" s="100">
        <f t="shared" si="5"/>
        <v>0</v>
      </c>
      <c r="AL18" s="119">
        <v>0</v>
      </c>
      <c r="AM18" s="119">
        <v>5331.79</v>
      </c>
      <c r="AN18" s="119">
        <v>0</v>
      </c>
      <c r="AO18" s="119">
        <v>0</v>
      </c>
      <c r="AP18" s="119">
        <v>8913.33</v>
      </c>
      <c r="AQ18" s="119">
        <v>0</v>
      </c>
      <c r="AR18" s="119">
        <v>0</v>
      </c>
      <c r="AS18" s="119">
        <v>0</v>
      </c>
      <c r="AT18" s="122">
        <v>4</v>
      </c>
      <c r="AU18" s="122">
        <v>0</v>
      </c>
      <c r="AV18" s="122">
        <v>0</v>
      </c>
      <c r="AW18" s="122">
        <v>0</v>
      </c>
      <c r="AX18" s="122">
        <v>-2</v>
      </c>
      <c r="AY18" s="122">
        <v>0</v>
      </c>
      <c r="AZ18" s="122">
        <v>0</v>
      </c>
      <c r="BA18" s="123">
        <f t="shared" si="6"/>
        <v>2</v>
      </c>
      <c r="BB18" s="119">
        <v>0</v>
      </c>
      <c r="BC18" s="119">
        <v>0</v>
      </c>
      <c r="BD18" s="119">
        <v>0</v>
      </c>
      <c r="BE18" s="120">
        <v>0</v>
      </c>
      <c r="BF18" s="120">
        <v>0</v>
      </c>
      <c r="BG18" s="120">
        <v>0</v>
      </c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</row>
    <row r="19" spans="1:228" s="27" customFormat="1" ht="15.6" x14ac:dyDescent="0.3">
      <c r="A19" s="33">
        <v>7</v>
      </c>
      <c r="B19" s="34" t="s">
        <v>157</v>
      </c>
      <c r="C19" s="34" t="s">
        <v>83</v>
      </c>
      <c r="D19" s="57" t="s">
        <v>197</v>
      </c>
      <c r="E19" s="57"/>
      <c r="F19" s="57" t="s">
        <v>198</v>
      </c>
      <c r="G19" s="35" t="s">
        <v>135</v>
      </c>
      <c r="H19" s="120">
        <v>1028682</v>
      </c>
      <c r="I19" s="120">
        <v>1028796</v>
      </c>
      <c r="J19" s="120">
        <v>4164</v>
      </c>
      <c r="K19" s="120">
        <v>809375</v>
      </c>
      <c r="L19" s="120">
        <v>0</v>
      </c>
      <c r="M19" s="120">
        <v>145992</v>
      </c>
      <c r="N19" s="120">
        <v>0</v>
      </c>
      <c r="O19" s="120">
        <v>1024700</v>
      </c>
      <c r="P19" s="145">
        <v>0</v>
      </c>
      <c r="Q19" s="125">
        <v>0</v>
      </c>
      <c r="R19" s="120">
        <v>440855</v>
      </c>
      <c r="S19" s="120">
        <v>234371</v>
      </c>
      <c r="T19" s="124">
        <v>7.5702994256737738E-2</v>
      </c>
      <c r="U19" s="120">
        <v>69332.63</v>
      </c>
      <c r="V19" s="120">
        <v>0</v>
      </c>
      <c r="W19" s="120">
        <v>119</v>
      </c>
      <c r="X19" s="120">
        <v>22420</v>
      </c>
      <c r="Y19" s="120">
        <v>1891</v>
      </c>
      <c r="Z19" s="120">
        <v>0</v>
      </c>
      <c r="AA19" s="120">
        <v>0</v>
      </c>
      <c r="AB19" s="120">
        <v>10214</v>
      </c>
      <c r="AC19" s="120">
        <v>0</v>
      </c>
      <c r="AD19" s="120">
        <v>0</v>
      </c>
      <c r="AE19" s="120">
        <v>2600</v>
      </c>
      <c r="AF19" s="120">
        <v>0</v>
      </c>
      <c r="AG19" s="120">
        <v>0</v>
      </c>
      <c r="AH19" s="120">
        <v>0</v>
      </c>
      <c r="AI19" s="120">
        <v>0</v>
      </c>
      <c r="AJ19" s="120">
        <v>43407</v>
      </c>
      <c r="AK19" s="104">
        <f t="shared" si="5"/>
        <v>0</v>
      </c>
      <c r="AL19" s="120">
        <v>0</v>
      </c>
      <c r="AM19" s="120">
        <v>25728</v>
      </c>
      <c r="AN19" s="120">
        <v>0</v>
      </c>
      <c r="AO19" s="120">
        <v>0</v>
      </c>
      <c r="AP19" s="120">
        <v>1020</v>
      </c>
      <c r="AQ19" s="120">
        <v>0</v>
      </c>
      <c r="AR19" s="120">
        <v>0</v>
      </c>
      <c r="AS19" s="120">
        <v>0</v>
      </c>
      <c r="AT19" s="125">
        <v>21</v>
      </c>
      <c r="AU19" s="125">
        <v>0</v>
      </c>
      <c r="AV19" s="125">
        <v>0</v>
      </c>
      <c r="AW19" s="125">
        <v>0</v>
      </c>
      <c r="AX19" s="125">
        <v>0</v>
      </c>
      <c r="AY19" s="125">
        <v>-5</v>
      </c>
      <c r="AZ19" s="125">
        <v>0</v>
      </c>
      <c r="BA19" s="110">
        <f t="shared" si="6"/>
        <v>16</v>
      </c>
      <c r="BB19" s="120">
        <v>11</v>
      </c>
      <c r="BC19" s="120">
        <v>2</v>
      </c>
      <c r="BD19" s="120">
        <v>0</v>
      </c>
      <c r="BE19" s="120">
        <v>1</v>
      </c>
      <c r="BF19" s="120">
        <v>0</v>
      </c>
      <c r="BG19" s="120">
        <v>2</v>
      </c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</row>
    <row r="20" spans="1:228" s="27" customFormat="1" ht="15.6" x14ac:dyDescent="0.3">
      <c r="A20" s="33">
        <v>7</v>
      </c>
      <c r="B20" s="34" t="s">
        <v>158</v>
      </c>
      <c r="C20" s="34" t="s">
        <v>246</v>
      </c>
      <c r="D20" s="57" t="s">
        <v>199</v>
      </c>
      <c r="E20" s="57"/>
      <c r="F20" s="57" t="s">
        <v>196</v>
      </c>
      <c r="G20" s="35" t="s">
        <v>135</v>
      </c>
      <c r="H20" s="120">
        <v>152870.49</v>
      </c>
      <c r="I20" s="120">
        <v>152870.49</v>
      </c>
      <c r="J20" s="120">
        <v>3.69</v>
      </c>
      <c r="K20" s="120">
        <v>158268.68</v>
      </c>
      <c r="L20" s="120">
        <v>0</v>
      </c>
      <c r="M20" s="120">
        <v>0</v>
      </c>
      <c r="N20" s="120">
        <v>0</v>
      </c>
      <c r="O20" s="120">
        <v>170742.98</v>
      </c>
      <c r="P20" s="145">
        <v>1</v>
      </c>
      <c r="Q20" s="125">
        <v>0</v>
      </c>
      <c r="R20" s="120">
        <v>170742.97999999998</v>
      </c>
      <c r="S20" s="120">
        <v>0</v>
      </c>
      <c r="T20" s="124">
        <v>7.0130543580766841E-2</v>
      </c>
      <c r="U20" s="120">
        <v>11974.298000000001</v>
      </c>
      <c r="V20" s="120">
        <v>0</v>
      </c>
      <c r="W20" s="120">
        <v>0</v>
      </c>
      <c r="X20" s="120">
        <v>0</v>
      </c>
      <c r="Y20" s="120">
        <v>0</v>
      </c>
      <c r="Z20" s="120">
        <v>0</v>
      </c>
      <c r="AA20" s="120">
        <v>0</v>
      </c>
      <c r="AB20" s="120">
        <v>0</v>
      </c>
      <c r="AC20" s="120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0">
        <v>0</v>
      </c>
      <c r="AJ20" s="120">
        <v>1147</v>
      </c>
      <c r="AK20" s="104">
        <f t="shared" si="5"/>
        <v>0</v>
      </c>
      <c r="AL20" s="120">
        <v>0</v>
      </c>
      <c r="AM20" s="120">
        <v>8537</v>
      </c>
      <c r="AN20" s="120">
        <v>0</v>
      </c>
      <c r="AO20" s="120">
        <v>0</v>
      </c>
      <c r="AP20" s="120">
        <v>9510.2999999999993</v>
      </c>
      <c r="AQ20" s="120">
        <v>0</v>
      </c>
      <c r="AR20" s="120">
        <v>0</v>
      </c>
      <c r="AS20" s="120">
        <v>0</v>
      </c>
      <c r="AT20" s="125">
        <v>1</v>
      </c>
      <c r="AU20" s="125">
        <v>0</v>
      </c>
      <c r="AV20" s="125">
        <v>0</v>
      </c>
      <c r="AW20" s="125">
        <v>0</v>
      </c>
      <c r="AX20" s="125">
        <v>0</v>
      </c>
      <c r="AY20" s="125">
        <v>0</v>
      </c>
      <c r="AZ20" s="125">
        <v>0</v>
      </c>
      <c r="BA20" s="110">
        <f t="shared" si="6"/>
        <v>1</v>
      </c>
      <c r="BB20" s="120">
        <v>0</v>
      </c>
      <c r="BC20" s="120">
        <v>0</v>
      </c>
      <c r="BD20" s="120">
        <v>0</v>
      </c>
      <c r="BE20" s="120">
        <v>0</v>
      </c>
      <c r="BF20" s="120">
        <v>0</v>
      </c>
      <c r="BG20" s="120">
        <v>0</v>
      </c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</row>
    <row r="21" spans="1:228" s="92" customFormat="1" ht="15.6" x14ac:dyDescent="0.3">
      <c r="A21" s="89">
        <v>8</v>
      </c>
      <c r="B21" s="90" t="s">
        <v>159</v>
      </c>
      <c r="C21" s="90" t="s">
        <v>68</v>
      </c>
      <c r="D21" s="57" t="s">
        <v>200</v>
      </c>
      <c r="E21" s="57"/>
      <c r="F21" s="57" t="s">
        <v>201</v>
      </c>
      <c r="G21" s="36" t="s">
        <v>127</v>
      </c>
      <c r="H21" s="97">
        <v>360659.35</v>
      </c>
      <c r="I21" s="97">
        <v>360689.51</v>
      </c>
      <c r="J21" s="97">
        <v>0</v>
      </c>
      <c r="K21" s="97">
        <v>325685.33</v>
      </c>
      <c r="L21" s="97">
        <v>4665.08</v>
      </c>
      <c r="M21" s="97">
        <v>1291.25</v>
      </c>
      <c r="N21" s="97">
        <v>10612.6</v>
      </c>
      <c r="O21" s="97">
        <v>360648.97</v>
      </c>
      <c r="P21" s="126">
        <v>0.01</v>
      </c>
      <c r="Q21" s="105">
        <f>360649-360649</f>
        <v>0</v>
      </c>
      <c r="R21" s="97">
        <v>360649</v>
      </c>
      <c r="S21" s="97">
        <v>0</v>
      </c>
      <c r="T21" s="103">
        <v>0.05</v>
      </c>
      <c r="U21" s="97">
        <v>18032.45</v>
      </c>
      <c r="V21" s="97">
        <v>0</v>
      </c>
      <c r="W21" s="97">
        <v>44.94</v>
      </c>
      <c r="X21" s="97">
        <v>4085</v>
      </c>
      <c r="Y21" s="97">
        <v>318.64</v>
      </c>
      <c r="Z21" s="97">
        <v>0</v>
      </c>
      <c r="AA21" s="97">
        <v>0</v>
      </c>
      <c r="AB21" s="97">
        <v>0</v>
      </c>
      <c r="AC21" s="97">
        <v>0</v>
      </c>
      <c r="AD21" s="97">
        <v>0</v>
      </c>
      <c r="AE21" s="97">
        <v>542.20000000000005</v>
      </c>
      <c r="AF21" s="97">
        <v>0</v>
      </c>
      <c r="AG21" s="97">
        <v>0</v>
      </c>
      <c r="AH21" s="97">
        <v>0</v>
      </c>
      <c r="AI21" s="97">
        <v>0</v>
      </c>
      <c r="AJ21" s="97">
        <v>5172.84</v>
      </c>
      <c r="AK21" s="104">
        <f t="shared" si="5"/>
        <v>0</v>
      </c>
      <c r="AL21" s="105">
        <v>0</v>
      </c>
      <c r="AM21" s="105">
        <v>18032.45</v>
      </c>
      <c r="AN21" s="105">
        <v>0</v>
      </c>
      <c r="AO21" s="105">
        <v>0</v>
      </c>
      <c r="AP21" s="105">
        <v>5445.35</v>
      </c>
      <c r="AQ21" s="105">
        <v>0</v>
      </c>
      <c r="AR21" s="105">
        <v>0</v>
      </c>
      <c r="AS21" s="105">
        <v>0</v>
      </c>
      <c r="AT21" s="105">
        <v>9</v>
      </c>
      <c r="AU21" s="105">
        <v>1</v>
      </c>
      <c r="AV21" s="105">
        <v>0</v>
      </c>
      <c r="AW21" s="105">
        <v>0</v>
      </c>
      <c r="AX21" s="105">
        <v>0</v>
      </c>
      <c r="AY21" s="105">
        <v>-1</v>
      </c>
      <c r="AZ21" s="105">
        <v>0</v>
      </c>
      <c r="BA21" s="106">
        <f t="shared" si="6"/>
        <v>9</v>
      </c>
      <c r="BB21" s="97">
        <v>0</v>
      </c>
      <c r="BC21" s="97">
        <v>1</v>
      </c>
      <c r="BD21" s="97">
        <v>0</v>
      </c>
      <c r="BE21" s="97">
        <v>0</v>
      </c>
      <c r="BF21" s="97">
        <v>0</v>
      </c>
      <c r="BG21" s="97">
        <v>0</v>
      </c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</row>
    <row r="22" spans="1:228" s="27" customFormat="1" ht="15.6" x14ac:dyDescent="0.3">
      <c r="A22" s="33">
        <v>8</v>
      </c>
      <c r="B22" s="133" t="s">
        <v>259</v>
      </c>
      <c r="C22" s="133" t="s">
        <v>247</v>
      </c>
      <c r="D22" s="57" t="s">
        <v>202</v>
      </c>
      <c r="E22" s="57"/>
      <c r="F22" s="57" t="s">
        <v>203</v>
      </c>
      <c r="G22" s="35" t="s">
        <v>127</v>
      </c>
      <c r="H22" s="134">
        <v>658275</v>
      </c>
      <c r="I22" s="134">
        <v>658275</v>
      </c>
      <c r="J22" s="134">
        <v>2948</v>
      </c>
      <c r="K22" s="134">
        <v>571459</v>
      </c>
      <c r="L22" s="134">
        <v>32629</v>
      </c>
      <c r="M22" s="134">
        <v>72136</v>
      </c>
      <c r="N22" s="134">
        <v>11053</v>
      </c>
      <c r="O22" s="134">
        <v>727276</v>
      </c>
      <c r="P22" s="135">
        <v>2</v>
      </c>
      <c r="Q22" s="137">
        <v>0</v>
      </c>
      <c r="R22" s="134">
        <v>727276</v>
      </c>
      <c r="S22" s="134">
        <v>0</v>
      </c>
      <c r="T22" s="136">
        <v>5.5E-2</v>
      </c>
      <c r="U22" s="134">
        <v>40001</v>
      </c>
      <c r="V22" s="134">
        <v>0</v>
      </c>
      <c r="W22" s="134">
        <v>0</v>
      </c>
      <c r="X22" s="134">
        <v>0</v>
      </c>
      <c r="Y22" s="134">
        <v>0</v>
      </c>
      <c r="Z22" s="134">
        <v>0</v>
      </c>
      <c r="AA22" s="134">
        <v>0</v>
      </c>
      <c r="AB22" s="134">
        <v>0</v>
      </c>
      <c r="AC22" s="134">
        <v>0</v>
      </c>
      <c r="AD22" s="134">
        <v>0</v>
      </c>
      <c r="AE22" s="134">
        <v>107</v>
      </c>
      <c r="AF22" s="134">
        <v>316</v>
      </c>
      <c r="AG22" s="134">
        <v>0</v>
      </c>
      <c r="AH22" s="134">
        <v>0</v>
      </c>
      <c r="AI22" s="134">
        <v>0</v>
      </c>
      <c r="AJ22" s="134">
        <v>5903</v>
      </c>
      <c r="AK22" s="100">
        <f t="shared" si="5"/>
        <v>0</v>
      </c>
      <c r="AL22" s="134">
        <v>0</v>
      </c>
      <c r="AM22" s="134">
        <v>32766</v>
      </c>
      <c r="AN22" s="134">
        <v>0</v>
      </c>
      <c r="AO22" s="134">
        <v>0</v>
      </c>
      <c r="AP22" s="134">
        <v>5101</v>
      </c>
      <c r="AQ22" s="134">
        <v>0</v>
      </c>
      <c r="AR22" s="134">
        <v>0</v>
      </c>
      <c r="AS22" s="134">
        <v>0</v>
      </c>
      <c r="AT22" s="134">
        <v>24</v>
      </c>
      <c r="AU22" s="134">
        <v>7</v>
      </c>
      <c r="AV22" s="134">
        <v>0</v>
      </c>
      <c r="AW22" s="137">
        <v>0</v>
      </c>
      <c r="AX22" s="137">
        <v>-1</v>
      </c>
      <c r="AY22" s="137">
        <v>-3</v>
      </c>
      <c r="AZ22" s="137">
        <v>0</v>
      </c>
      <c r="BA22" s="137">
        <v>27</v>
      </c>
      <c r="BB22" s="137">
        <v>2</v>
      </c>
      <c r="BC22" s="134">
        <v>2</v>
      </c>
      <c r="BD22" s="134">
        <v>0</v>
      </c>
      <c r="BE22" s="134">
        <v>0</v>
      </c>
      <c r="BF22" s="134">
        <v>0</v>
      </c>
      <c r="BG22" s="134">
        <v>1</v>
      </c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</row>
    <row r="23" spans="1:228" s="74" customFormat="1" ht="15.6" x14ac:dyDescent="0.3">
      <c r="A23" s="69">
        <v>9</v>
      </c>
      <c r="B23" s="70" t="s">
        <v>160</v>
      </c>
      <c r="C23" s="70" t="s">
        <v>76</v>
      </c>
      <c r="D23" s="71" t="s">
        <v>204</v>
      </c>
      <c r="E23" s="71"/>
      <c r="F23" s="71" t="s">
        <v>196</v>
      </c>
      <c r="G23" s="87" t="s">
        <v>84</v>
      </c>
      <c r="H23" s="98">
        <v>654872</v>
      </c>
      <c r="I23" s="98">
        <v>764493</v>
      </c>
      <c r="J23" s="98">
        <v>144355</v>
      </c>
      <c r="K23" s="98">
        <v>343906</v>
      </c>
      <c r="L23" s="98">
        <v>53022</v>
      </c>
      <c r="M23" s="98">
        <v>151559</v>
      </c>
      <c r="N23" s="98">
        <v>93456</v>
      </c>
      <c r="O23" s="98">
        <v>715109</v>
      </c>
      <c r="P23" s="127">
        <v>0.2</v>
      </c>
      <c r="Q23" s="129">
        <f>715109-715109</f>
        <v>0</v>
      </c>
      <c r="R23" s="98">
        <v>430002</v>
      </c>
      <c r="S23" s="98">
        <v>285107</v>
      </c>
      <c r="T23" s="139">
        <v>4.8039291912142068E-2</v>
      </c>
      <c r="U23" s="98">
        <v>34160.33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4200</v>
      </c>
      <c r="AB23" s="98">
        <v>1538</v>
      </c>
      <c r="AC23" s="98">
        <v>525</v>
      </c>
      <c r="AD23" s="98">
        <v>0</v>
      </c>
      <c r="AE23" s="98">
        <v>1546</v>
      </c>
      <c r="AF23" s="98">
        <v>1676</v>
      </c>
      <c r="AG23" s="98">
        <v>0</v>
      </c>
      <c r="AH23" s="98">
        <v>0</v>
      </c>
      <c r="AI23" s="98">
        <v>0</v>
      </c>
      <c r="AJ23" s="98">
        <v>15015</v>
      </c>
      <c r="AK23" s="128">
        <f t="shared" si="5"/>
        <v>0</v>
      </c>
      <c r="AL23" s="129">
        <v>0</v>
      </c>
      <c r="AM23" s="129">
        <v>19840</v>
      </c>
      <c r="AN23" s="129">
        <v>0</v>
      </c>
      <c r="AO23" s="129">
        <v>0</v>
      </c>
      <c r="AP23" s="129">
        <v>0</v>
      </c>
      <c r="AQ23" s="129">
        <v>0</v>
      </c>
      <c r="AR23" s="129">
        <v>0</v>
      </c>
      <c r="AS23" s="129">
        <v>0</v>
      </c>
      <c r="AT23" s="129">
        <v>32</v>
      </c>
      <c r="AU23" s="129">
        <v>0</v>
      </c>
      <c r="AV23" s="129">
        <v>0</v>
      </c>
      <c r="AW23" s="129">
        <v>-3</v>
      </c>
      <c r="AX23" s="129">
        <v>-9</v>
      </c>
      <c r="AY23" s="129">
        <v>-5</v>
      </c>
      <c r="AZ23" s="129">
        <v>0</v>
      </c>
      <c r="BA23" s="111">
        <f t="shared" ref="BA23:BA46" si="7">SUM(AT23:AZ23)</f>
        <v>15</v>
      </c>
      <c r="BB23" s="98">
        <v>1</v>
      </c>
      <c r="BC23" s="98">
        <v>3</v>
      </c>
      <c r="BD23" s="98">
        <v>1</v>
      </c>
      <c r="BE23" s="98">
        <v>1</v>
      </c>
      <c r="BF23" s="98">
        <v>0</v>
      </c>
      <c r="BG23" s="98">
        <v>0</v>
      </c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</row>
    <row r="24" spans="1:228" s="95" customFormat="1" ht="15.6" x14ac:dyDescent="0.3">
      <c r="A24" s="89">
        <v>9</v>
      </c>
      <c r="B24" s="90" t="s">
        <v>161</v>
      </c>
      <c r="C24" s="90" t="s">
        <v>126</v>
      </c>
      <c r="D24" s="57" t="s">
        <v>205</v>
      </c>
      <c r="E24" s="57"/>
      <c r="F24" s="57" t="s">
        <v>203</v>
      </c>
      <c r="G24" s="94" t="s">
        <v>84</v>
      </c>
      <c r="H24" s="115">
        <v>522603</v>
      </c>
      <c r="I24" s="115">
        <v>532284</v>
      </c>
      <c r="J24" s="115">
        <v>10772</v>
      </c>
      <c r="K24" s="115">
        <v>344079</v>
      </c>
      <c r="L24" s="115">
        <v>44461</v>
      </c>
      <c r="M24" s="115">
        <v>58185</v>
      </c>
      <c r="N24" s="115">
        <v>51708</v>
      </c>
      <c r="O24" s="115">
        <v>540598</v>
      </c>
      <c r="P24" s="116">
        <v>0.23</v>
      </c>
      <c r="Q24" s="117">
        <f>540598-530917</f>
        <v>9681</v>
      </c>
      <c r="R24" s="115">
        <v>530917</v>
      </c>
      <c r="S24" s="115">
        <v>0</v>
      </c>
      <c r="T24" s="138">
        <v>6.1000000000000006E-2</v>
      </c>
      <c r="U24" s="115">
        <v>32385.937000000002</v>
      </c>
      <c r="V24" s="115">
        <v>158706</v>
      </c>
      <c r="W24" s="115">
        <v>0</v>
      </c>
      <c r="X24" s="115">
        <v>2563</v>
      </c>
      <c r="Y24" s="115">
        <v>207</v>
      </c>
      <c r="Z24" s="115">
        <v>521</v>
      </c>
      <c r="AA24" s="115">
        <v>309</v>
      </c>
      <c r="AB24" s="115">
        <v>0</v>
      </c>
      <c r="AC24" s="115">
        <v>558</v>
      </c>
      <c r="AD24" s="115">
        <v>0</v>
      </c>
      <c r="AE24" s="115">
        <v>967</v>
      </c>
      <c r="AF24" s="115">
        <v>223</v>
      </c>
      <c r="AG24" s="115">
        <v>76</v>
      </c>
      <c r="AH24" s="115">
        <v>28</v>
      </c>
      <c r="AI24" s="115">
        <v>5755</v>
      </c>
      <c r="AJ24" s="115">
        <v>5755</v>
      </c>
      <c r="AK24" s="104">
        <f t="shared" si="5"/>
        <v>1</v>
      </c>
      <c r="AL24" s="117">
        <v>0</v>
      </c>
      <c r="AM24" s="117">
        <v>33527</v>
      </c>
      <c r="AN24" s="117">
        <v>0</v>
      </c>
      <c r="AO24" s="117">
        <v>0</v>
      </c>
      <c r="AP24" s="117">
        <v>7193</v>
      </c>
      <c r="AQ24" s="117">
        <v>0</v>
      </c>
      <c r="AR24" s="117">
        <v>0</v>
      </c>
      <c r="AS24" s="117">
        <v>0</v>
      </c>
      <c r="AT24" s="117">
        <v>32</v>
      </c>
      <c r="AU24" s="117">
        <v>5</v>
      </c>
      <c r="AV24" s="117">
        <v>0</v>
      </c>
      <c r="AW24" s="117">
        <v>-1</v>
      </c>
      <c r="AX24" s="117">
        <v>-2</v>
      </c>
      <c r="AY24" s="117">
        <v>-3</v>
      </c>
      <c r="AZ24" s="117">
        <v>0</v>
      </c>
      <c r="BA24" s="106">
        <f t="shared" si="7"/>
        <v>31</v>
      </c>
      <c r="BB24" s="115">
        <v>0</v>
      </c>
      <c r="BC24" s="115">
        <v>0</v>
      </c>
      <c r="BD24" s="115">
        <v>0</v>
      </c>
      <c r="BE24" s="115">
        <v>2</v>
      </c>
      <c r="BF24" s="115">
        <v>1</v>
      </c>
      <c r="BG24" s="115">
        <v>0</v>
      </c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</row>
    <row r="25" spans="1:228" s="27" customFormat="1" ht="15.6" x14ac:dyDescent="0.3">
      <c r="A25" s="33">
        <v>9</v>
      </c>
      <c r="B25" s="34" t="s">
        <v>162</v>
      </c>
      <c r="C25" s="34" t="s">
        <v>60</v>
      </c>
      <c r="D25" s="57" t="s">
        <v>206</v>
      </c>
      <c r="E25" s="57"/>
      <c r="F25" s="57" t="s">
        <v>207</v>
      </c>
      <c r="G25" s="88" t="s">
        <v>96</v>
      </c>
      <c r="H25" s="97">
        <v>18414</v>
      </c>
      <c r="I25" s="97">
        <v>18416.080000000002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1773.12</v>
      </c>
      <c r="P25" s="126">
        <v>5.84</v>
      </c>
      <c r="Q25" s="105">
        <f>1773-1769</f>
        <v>4</v>
      </c>
      <c r="R25" s="97">
        <v>1773</v>
      </c>
      <c r="S25" s="97">
        <v>0</v>
      </c>
      <c r="T25" s="103">
        <v>0.1</v>
      </c>
      <c r="U25" s="97">
        <v>1768.68</v>
      </c>
      <c r="V25" s="97">
        <v>0</v>
      </c>
      <c r="W25" s="97">
        <v>2.3000000000000003</v>
      </c>
      <c r="X25" s="97">
        <v>0</v>
      </c>
      <c r="Y25" s="97">
        <v>0</v>
      </c>
      <c r="Z25" s="97">
        <v>0</v>
      </c>
      <c r="AA25" s="97">
        <v>157</v>
      </c>
      <c r="AB25" s="97">
        <v>200</v>
      </c>
      <c r="AC25" s="97">
        <v>0</v>
      </c>
      <c r="AD25" s="97">
        <v>200</v>
      </c>
      <c r="AE25" s="97">
        <v>35</v>
      </c>
      <c r="AF25" s="97">
        <v>0</v>
      </c>
      <c r="AG25" s="97">
        <v>0</v>
      </c>
      <c r="AH25" s="97">
        <v>0</v>
      </c>
      <c r="AI25" s="97">
        <v>0</v>
      </c>
      <c r="AJ25" s="97">
        <v>612</v>
      </c>
      <c r="AK25" s="104">
        <f t="shared" si="5"/>
        <v>0</v>
      </c>
      <c r="AL25" s="105">
        <v>0</v>
      </c>
      <c r="AM25" s="105">
        <v>920</v>
      </c>
      <c r="AN25" s="105">
        <v>0</v>
      </c>
      <c r="AO25" s="105">
        <v>0</v>
      </c>
      <c r="AP25" s="105">
        <v>479.42</v>
      </c>
      <c r="AQ25" s="105">
        <v>0</v>
      </c>
      <c r="AR25" s="105">
        <v>0</v>
      </c>
      <c r="AS25" s="105">
        <v>0</v>
      </c>
      <c r="AT25" s="105">
        <v>3</v>
      </c>
      <c r="AU25" s="105">
        <v>3</v>
      </c>
      <c r="AV25" s="105">
        <v>0</v>
      </c>
      <c r="AW25" s="105">
        <v>0</v>
      </c>
      <c r="AX25" s="105">
        <v>-2</v>
      </c>
      <c r="AY25" s="105">
        <v>-1</v>
      </c>
      <c r="AZ25" s="105">
        <v>0</v>
      </c>
      <c r="BA25" s="106">
        <f t="shared" si="7"/>
        <v>3</v>
      </c>
      <c r="BB25" s="97">
        <v>0</v>
      </c>
      <c r="BC25" s="97">
        <v>1</v>
      </c>
      <c r="BD25" s="97">
        <v>0</v>
      </c>
      <c r="BE25" s="97">
        <v>2</v>
      </c>
      <c r="BF25" s="97">
        <v>0</v>
      </c>
      <c r="BG25" s="97">
        <v>0</v>
      </c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</row>
    <row r="26" spans="1:228" s="74" customFormat="1" ht="15.6" x14ac:dyDescent="0.3">
      <c r="A26" s="69">
        <v>10</v>
      </c>
      <c r="B26" s="70" t="s">
        <v>163</v>
      </c>
      <c r="C26" s="70" t="s">
        <v>76</v>
      </c>
      <c r="D26" s="71" t="s">
        <v>208</v>
      </c>
      <c r="E26" s="71"/>
      <c r="F26" s="71" t="s">
        <v>207</v>
      </c>
      <c r="G26" s="87" t="s">
        <v>72</v>
      </c>
      <c r="H26" s="98">
        <v>749640</v>
      </c>
      <c r="I26" s="98">
        <v>759371</v>
      </c>
      <c r="J26" s="98">
        <v>0</v>
      </c>
      <c r="K26" s="98">
        <v>582665</v>
      </c>
      <c r="L26" s="98">
        <v>13287</v>
      </c>
      <c r="M26" s="98">
        <v>99207</v>
      </c>
      <c r="N26" s="98">
        <v>3119</v>
      </c>
      <c r="O26" s="98">
        <v>757826</v>
      </c>
      <c r="P26" s="127">
        <v>1</v>
      </c>
      <c r="Q26" s="129">
        <f>757826-747433</f>
        <v>10393</v>
      </c>
      <c r="R26" s="98">
        <v>597747</v>
      </c>
      <c r="S26" s="98">
        <v>149686</v>
      </c>
      <c r="T26" s="139">
        <v>4.5994664404702498E-2</v>
      </c>
      <c r="U26" s="98">
        <v>34403.93</v>
      </c>
      <c r="V26" s="98">
        <v>184256</v>
      </c>
      <c r="W26" s="98">
        <v>25</v>
      </c>
      <c r="X26" s="98">
        <v>0</v>
      </c>
      <c r="Y26" s="98">
        <v>0</v>
      </c>
      <c r="Z26" s="98">
        <v>0</v>
      </c>
      <c r="AA26" s="98">
        <v>0</v>
      </c>
      <c r="AB26" s="98">
        <v>0</v>
      </c>
      <c r="AC26" s="98">
        <v>0</v>
      </c>
      <c r="AD26" s="98">
        <v>0</v>
      </c>
      <c r="AE26" s="98">
        <v>19</v>
      </c>
      <c r="AF26" s="98">
        <v>349</v>
      </c>
      <c r="AG26" s="98">
        <v>0</v>
      </c>
      <c r="AH26" s="98">
        <v>0</v>
      </c>
      <c r="AI26" s="98">
        <v>0</v>
      </c>
      <c r="AJ26" s="98">
        <v>6951</v>
      </c>
      <c r="AK26" s="128">
        <f t="shared" si="5"/>
        <v>0</v>
      </c>
      <c r="AL26" s="129">
        <v>0</v>
      </c>
      <c r="AM26" s="129">
        <v>37175</v>
      </c>
      <c r="AN26" s="129">
        <v>0</v>
      </c>
      <c r="AO26" s="129">
        <v>0</v>
      </c>
      <c r="AP26" s="129">
        <v>0</v>
      </c>
      <c r="AQ26" s="129">
        <v>0</v>
      </c>
      <c r="AR26" s="129">
        <v>0</v>
      </c>
      <c r="AS26" s="129">
        <v>0</v>
      </c>
      <c r="AT26" s="129">
        <v>11</v>
      </c>
      <c r="AU26" s="129">
        <v>7</v>
      </c>
      <c r="AV26" s="129">
        <v>0</v>
      </c>
      <c r="AW26" s="129">
        <v>0</v>
      </c>
      <c r="AX26" s="129">
        <v>-1</v>
      </c>
      <c r="AY26" s="129">
        <v>-3</v>
      </c>
      <c r="AZ26" s="129">
        <v>0</v>
      </c>
      <c r="BA26" s="111">
        <f t="shared" si="7"/>
        <v>14</v>
      </c>
      <c r="BB26" s="98">
        <v>0</v>
      </c>
      <c r="BC26" s="98">
        <v>1</v>
      </c>
      <c r="BD26" s="98">
        <v>1</v>
      </c>
      <c r="BE26" s="98">
        <v>1</v>
      </c>
      <c r="BF26" s="98">
        <v>0</v>
      </c>
      <c r="BG26" s="98">
        <v>0</v>
      </c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</row>
    <row r="27" spans="1:228" s="74" customFormat="1" ht="15.6" x14ac:dyDescent="0.3">
      <c r="A27" s="69">
        <v>10</v>
      </c>
      <c r="B27" s="70" t="s">
        <v>164</v>
      </c>
      <c r="C27" s="70" t="s">
        <v>100</v>
      </c>
      <c r="D27" s="71" t="s">
        <v>209</v>
      </c>
      <c r="E27" s="71"/>
      <c r="F27" s="71" t="s">
        <v>188</v>
      </c>
      <c r="G27" s="87" t="s">
        <v>72</v>
      </c>
      <c r="H27" s="98">
        <v>303128.98</v>
      </c>
      <c r="I27" s="98">
        <v>313291.39</v>
      </c>
      <c r="J27" s="98">
        <v>0</v>
      </c>
      <c r="K27" s="98">
        <v>245465.73</v>
      </c>
      <c r="L27" s="98">
        <v>8100.15</v>
      </c>
      <c r="M27" s="98">
        <v>14234.92</v>
      </c>
      <c r="N27" s="98">
        <v>24169.54</v>
      </c>
      <c r="O27" s="98">
        <v>318346.3</v>
      </c>
      <c r="P27" s="127">
        <v>0.11</v>
      </c>
      <c r="Q27" s="129">
        <f>318346-308184</f>
        <v>10162</v>
      </c>
      <c r="R27" s="98">
        <v>284765</v>
      </c>
      <c r="S27" s="98">
        <v>32096</v>
      </c>
      <c r="T27" s="139">
        <v>4.7974134224146175E-2</v>
      </c>
      <c r="U27" s="98">
        <v>15213.550300000001</v>
      </c>
      <c r="V27" s="98">
        <v>203240</v>
      </c>
      <c r="W27" s="98">
        <v>0</v>
      </c>
      <c r="X27" s="98">
        <v>768</v>
      </c>
      <c r="Y27" s="98">
        <v>62</v>
      </c>
      <c r="Z27" s="98">
        <v>131</v>
      </c>
      <c r="AA27" s="98">
        <v>262</v>
      </c>
      <c r="AB27" s="98">
        <v>68</v>
      </c>
      <c r="AC27" s="98">
        <v>433.44</v>
      </c>
      <c r="AD27" s="98">
        <v>125</v>
      </c>
      <c r="AE27" s="98">
        <v>154</v>
      </c>
      <c r="AF27" s="98">
        <v>0</v>
      </c>
      <c r="AG27" s="98">
        <v>14</v>
      </c>
      <c r="AH27" s="98">
        <v>3</v>
      </c>
      <c r="AI27" s="98">
        <v>0</v>
      </c>
      <c r="AJ27" s="98">
        <v>6185.52</v>
      </c>
      <c r="AK27" s="128">
        <f t="shared" si="5"/>
        <v>0</v>
      </c>
      <c r="AL27" s="129">
        <v>0</v>
      </c>
      <c r="AM27" s="129">
        <v>18700</v>
      </c>
      <c r="AN27" s="129">
        <v>0</v>
      </c>
      <c r="AO27" s="129">
        <v>0</v>
      </c>
      <c r="AP27" s="129">
        <v>632.29999999999598</v>
      </c>
      <c r="AQ27" s="129">
        <v>0</v>
      </c>
      <c r="AR27" s="129">
        <v>0</v>
      </c>
      <c r="AS27" s="129">
        <v>0</v>
      </c>
      <c r="AT27" s="129">
        <v>11</v>
      </c>
      <c r="AU27" s="129">
        <v>4</v>
      </c>
      <c r="AV27" s="129">
        <v>0</v>
      </c>
      <c r="AW27" s="129">
        <v>0</v>
      </c>
      <c r="AX27" s="129">
        <v>-1</v>
      </c>
      <c r="AY27" s="129">
        <v>-2</v>
      </c>
      <c r="AZ27" s="129">
        <v>0</v>
      </c>
      <c r="BA27" s="111">
        <f t="shared" si="7"/>
        <v>12</v>
      </c>
      <c r="BB27" s="98">
        <v>1</v>
      </c>
      <c r="BC27" s="98">
        <v>2</v>
      </c>
      <c r="BD27" s="98">
        <v>0</v>
      </c>
      <c r="BE27" s="98">
        <v>0</v>
      </c>
      <c r="BF27" s="98">
        <v>0</v>
      </c>
      <c r="BG27" s="98">
        <v>0</v>
      </c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</row>
    <row r="28" spans="1:228" s="27" customFormat="1" ht="15.6" x14ac:dyDescent="0.3">
      <c r="A28" s="33">
        <v>10</v>
      </c>
      <c r="B28" s="34" t="s">
        <v>165</v>
      </c>
      <c r="C28" s="34" t="s">
        <v>85</v>
      </c>
      <c r="D28" s="57" t="s">
        <v>210</v>
      </c>
      <c r="E28" s="57"/>
      <c r="F28" s="57" t="s">
        <v>211</v>
      </c>
      <c r="G28" s="88" t="s">
        <v>71</v>
      </c>
      <c r="H28" s="97">
        <v>247322</v>
      </c>
      <c r="I28" s="97">
        <v>247346</v>
      </c>
      <c r="J28" s="97">
        <v>8</v>
      </c>
      <c r="K28" s="97">
        <v>131181</v>
      </c>
      <c r="L28" s="97">
        <v>5832</v>
      </c>
      <c r="M28" s="97">
        <v>100423</v>
      </c>
      <c r="N28" s="97">
        <v>4661</v>
      </c>
      <c r="O28" s="97">
        <v>253152</v>
      </c>
      <c r="P28" s="126">
        <v>1.07</v>
      </c>
      <c r="Q28" s="105">
        <v>0</v>
      </c>
      <c r="R28" s="97">
        <v>173016</v>
      </c>
      <c r="S28" s="97">
        <v>80136</v>
      </c>
      <c r="T28" s="103">
        <v>4.3668941979522181E-2</v>
      </c>
      <c r="U28" s="97">
        <v>11054.88</v>
      </c>
      <c r="V28" s="97">
        <v>0</v>
      </c>
      <c r="W28" s="97">
        <v>27</v>
      </c>
      <c r="X28" s="97">
        <v>0</v>
      </c>
      <c r="Y28" s="97">
        <v>0</v>
      </c>
      <c r="Z28" s="97">
        <v>0</v>
      </c>
      <c r="AA28" s="97">
        <v>127</v>
      </c>
      <c r="AB28" s="97">
        <v>0</v>
      </c>
      <c r="AC28" s="97">
        <v>491</v>
      </c>
      <c r="AD28" s="97">
        <v>0</v>
      </c>
      <c r="AE28" s="97">
        <v>54</v>
      </c>
      <c r="AF28" s="97">
        <v>0</v>
      </c>
      <c r="AG28" s="97">
        <v>0</v>
      </c>
      <c r="AH28" s="97">
        <v>0</v>
      </c>
      <c r="AI28" s="97">
        <v>0</v>
      </c>
      <c r="AJ28" s="97">
        <v>1054</v>
      </c>
      <c r="AK28" s="104">
        <f t="shared" si="5"/>
        <v>0</v>
      </c>
      <c r="AL28" s="105">
        <v>0</v>
      </c>
      <c r="AM28" s="105">
        <v>11055</v>
      </c>
      <c r="AN28" s="105">
        <v>0</v>
      </c>
      <c r="AO28" s="105">
        <v>0</v>
      </c>
      <c r="AP28" s="105">
        <v>2046</v>
      </c>
      <c r="AQ28" s="105">
        <v>0</v>
      </c>
      <c r="AR28" s="105">
        <v>0</v>
      </c>
      <c r="AS28" s="105">
        <v>0</v>
      </c>
      <c r="AT28" s="105">
        <v>3</v>
      </c>
      <c r="AU28" s="105">
        <v>1</v>
      </c>
      <c r="AV28" s="105">
        <v>0</v>
      </c>
      <c r="AW28" s="105">
        <v>0</v>
      </c>
      <c r="AX28" s="105">
        <v>0</v>
      </c>
      <c r="AY28" s="105">
        <v>-1</v>
      </c>
      <c r="AZ28" s="105">
        <v>0</v>
      </c>
      <c r="BA28" s="106">
        <f t="shared" si="7"/>
        <v>3</v>
      </c>
      <c r="BB28" s="97">
        <v>0</v>
      </c>
      <c r="BC28" s="97">
        <v>0</v>
      </c>
      <c r="BD28" s="97">
        <v>0</v>
      </c>
      <c r="BE28" s="97">
        <v>0</v>
      </c>
      <c r="BF28" s="97">
        <v>0</v>
      </c>
      <c r="BG28" s="97">
        <v>0</v>
      </c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</row>
    <row r="29" spans="1:228" s="92" customFormat="1" ht="15.6" x14ac:dyDescent="0.3">
      <c r="A29" s="89">
        <v>10</v>
      </c>
      <c r="B29" s="90" t="s">
        <v>166</v>
      </c>
      <c r="C29" s="90" t="s">
        <v>118</v>
      </c>
      <c r="D29" s="57" t="s">
        <v>212</v>
      </c>
      <c r="E29" s="57"/>
      <c r="F29" s="57" t="s">
        <v>207</v>
      </c>
      <c r="G29" s="94" t="s">
        <v>71</v>
      </c>
      <c r="H29" s="97">
        <v>203947.09</v>
      </c>
      <c r="I29" s="97">
        <v>203947.09</v>
      </c>
      <c r="J29" s="97">
        <v>0</v>
      </c>
      <c r="K29" s="97">
        <v>131186.15</v>
      </c>
      <c r="L29" s="97">
        <v>3.75</v>
      </c>
      <c r="M29" s="97">
        <v>80783.990000000005</v>
      </c>
      <c r="N29" s="97">
        <v>381.11</v>
      </c>
      <c r="O29" s="97">
        <v>222967.85</v>
      </c>
      <c r="P29" s="126">
        <v>0.3</v>
      </c>
      <c r="Q29" s="105">
        <f>222968-223219</f>
        <v>-251</v>
      </c>
      <c r="R29" s="97">
        <v>195814</v>
      </c>
      <c r="S29" s="97">
        <v>27404</v>
      </c>
      <c r="T29" s="103">
        <v>4.7544606929850138E-2</v>
      </c>
      <c r="U29" s="97">
        <v>10612.8544</v>
      </c>
      <c r="V29" s="97">
        <v>0</v>
      </c>
      <c r="W29" s="97">
        <v>0</v>
      </c>
      <c r="X29" s="97">
        <v>3154.5</v>
      </c>
      <c r="Y29" s="97">
        <v>241.32</v>
      </c>
      <c r="Z29" s="97">
        <v>473.18</v>
      </c>
      <c r="AA29" s="97">
        <v>127</v>
      </c>
      <c r="AB29" s="97">
        <v>8</v>
      </c>
      <c r="AC29" s="97">
        <v>154.24</v>
      </c>
      <c r="AD29" s="97">
        <v>0</v>
      </c>
      <c r="AE29" s="97">
        <v>90</v>
      </c>
      <c r="AF29" s="97">
        <v>0</v>
      </c>
      <c r="AG29" s="97">
        <v>0</v>
      </c>
      <c r="AH29" s="97">
        <v>44</v>
      </c>
      <c r="AI29" s="97">
        <v>0</v>
      </c>
      <c r="AJ29" s="97">
        <v>4723.3100000000004</v>
      </c>
      <c r="AK29" s="104">
        <f t="shared" si="5"/>
        <v>0</v>
      </c>
      <c r="AL29" s="105">
        <v>0</v>
      </c>
      <c r="AM29" s="105">
        <v>7800</v>
      </c>
      <c r="AN29" s="105">
        <v>0</v>
      </c>
      <c r="AO29" s="105">
        <v>0</v>
      </c>
      <c r="AP29" s="105">
        <v>299.63999999999902</v>
      </c>
      <c r="AQ29" s="105">
        <v>0</v>
      </c>
      <c r="AR29" s="105">
        <v>0</v>
      </c>
      <c r="AS29" s="105">
        <v>0</v>
      </c>
      <c r="AT29" s="105">
        <v>5</v>
      </c>
      <c r="AU29" s="105">
        <v>0</v>
      </c>
      <c r="AV29" s="105">
        <v>0</v>
      </c>
      <c r="AW29" s="105">
        <v>0</v>
      </c>
      <c r="AX29" s="105">
        <v>-1</v>
      </c>
      <c r="AY29" s="105">
        <v>-1</v>
      </c>
      <c r="AZ29" s="105">
        <v>0</v>
      </c>
      <c r="BA29" s="106">
        <f t="shared" si="7"/>
        <v>3</v>
      </c>
      <c r="BB29" s="97">
        <v>0</v>
      </c>
      <c r="BC29" s="97">
        <v>0</v>
      </c>
      <c r="BD29" s="97">
        <v>0</v>
      </c>
      <c r="BE29" s="97">
        <v>1</v>
      </c>
      <c r="BF29" s="97">
        <v>0</v>
      </c>
      <c r="BG29" s="97">
        <v>0</v>
      </c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</row>
    <row r="30" spans="1:228" s="92" customFormat="1" ht="15.6" x14ac:dyDescent="0.3">
      <c r="A30" s="33">
        <v>11</v>
      </c>
      <c r="B30" s="34" t="s">
        <v>167</v>
      </c>
      <c r="C30" s="34" t="s">
        <v>246</v>
      </c>
      <c r="D30" s="57" t="s">
        <v>213</v>
      </c>
      <c r="E30" s="57"/>
      <c r="F30" s="57" t="s">
        <v>203</v>
      </c>
      <c r="G30" s="86" t="s">
        <v>141</v>
      </c>
      <c r="H30" s="97">
        <v>348594.41</v>
      </c>
      <c r="I30" s="97">
        <v>348594.41</v>
      </c>
      <c r="J30" s="97">
        <v>7569.44</v>
      </c>
      <c r="K30" s="97">
        <v>219136.35</v>
      </c>
      <c r="L30" s="97">
        <v>42387.040000000001</v>
      </c>
      <c r="M30" s="97">
        <v>46283.839999999997</v>
      </c>
      <c r="N30" s="97">
        <v>14137.08</v>
      </c>
      <c r="O30" s="97">
        <v>340969.69</v>
      </c>
      <c r="P30" s="126">
        <v>0</v>
      </c>
      <c r="Q30" s="105">
        <v>0</v>
      </c>
      <c r="R30" s="97">
        <v>340970</v>
      </c>
      <c r="S30" s="97">
        <v>0</v>
      </c>
      <c r="T30" s="103">
        <v>5.4999999999999993E-2</v>
      </c>
      <c r="U30" s="97">
        <v>18753.349999999999</v>
      </c>
      <c r="V30" s="97">
        <v>0</v>
      </c>
      <c r="W30" s="97">
        <v>0</v>
      </c>
      <c r="X30" s="97">
        <v>2289</v>
      </c>
      <c r="Y30" s="97">
        <v>0</v>
      </c>
      <c r="Z30" s="97">
        <v>0</v>
      </c>
      <c r="AA30" s="97">
        <v>0</v>
      </c>
      <c r="AB30" s="97">
        <v>0</v>
      </c>
      <c r="AC30" s="97">
        <v>0</v>
      </c>
      <c r="AD30" s="97">
        <v>330</v>
      </c>
      <c r="AE30" s="97">
        <v>664.13</v>
      </c>
      <c r="AF30" s="97">
        <v>0</v>
      </c>
      <c r="AG30" s="97">
        <v>0</v>
      </c>
      <c r="AH30" s="97">
        <v>0</v>
      </c>
      <c r="AI30" s="97">
        <v>0</v>
      </c>
      <c r="AJ30" s="97">
        <v>4128.5600000000004</v>
      </c>
      <c r="AK30" s="104">
        <f t="shared" si="5"/>
        <v>0</v>
      </c>
      <c r="AL30" s="105">
        <v>0</v>
      </c>
      <c r="AM30" s="105">
        <v>17048</v>
      </c>
      <c r="AN30" s="105">
        <v>0</v>
      </c>
      <c r="AO30" s="105">
        <v>0</v>
      </c>
      <c r="AP30" s="105">
        <v>7926.82</v>
      </c>
      <c r="AQ30" s="105">
        <v>0</v>
      </c>
      <c r="AR30" s="105">
        <v>0</v>
      </c>
      <c r="AS30" s="105">
        <v>0</v>
      </c>
      <c r="AT30" s="105">
        <v>28</v>
      </c>
      <c r="AU30" s="105">
        <v>9</v>
      </c>
      <c r="AV30" s="105">
        <v>0</v>
      </c>
      <c r="AW30" s="105">
        <v>-1</v>
      </c>
      <c r="AX30" s="105">
        <v>-6</v>
      </c>
      <c r="AY30" s="105">
        <v>-9</v>
      </c>
      <c r="AZ30" s="105">
        <v>0</v>
      </c>
      <c r="BA30" s="106">
        <f t="shared" si="7"/>
        <v>21</v>
      </c>
      <c r="BB30" s="97">
        <v>0</v>
      </c>
      <c r="BC30" s="97">
        <v>1</v>
      </c>
      <c r="BD30" s="97">
        <v>0</v>
      </c>
      <c r="BE30" s="97">
        <v>2</v>
      </c>
      <c r="BF30" s="97">
        <v>6</v>
      </c>
      <c r="BG30" s="97">
        <v>0</v>
      </c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</row>
    <row r="31" spans="1:228" s="27" customFormat="1" ht="15.6" x14ac:dyDescent="0.3">
      <c r="A31" s="33">
        <v>11</v>
      </c>
      <c r="B31" s="34" t="s">
        <v>238</v>
      </c>
      <c r="C31" s="34" t="s">
        <v>82</v>
      </c>
      <c r="D31" s="57" t="s">
        <v>214</v>
      </c>
      <c r="E31" s="57"/>
      <c r="F31" s="57" t="s">
        <v>196</v>
      </c>
      <c r="G31" s="88" t="s">
        <v>141</v>
      </c>
      <c r="H31" s="97">
        <v>1945334.36</v>
      </c>
      <c r="I31" s="97">
        <v>1945334.36</v>
      </c>
      <c r="J31" s="97">
        <v>17572.77</v>
      </c>
      <c r="K31" s="97">
        <v>1402384.23</v>
      </c>
      <c r="L31" s="97">
        <v>46546.6</v>
      </c>
      <c r="M31" s="97">
        <v>177221.26</v>
      </c>
      <c r="N31" s="97">
        <v>174871.22</v>
      </c>
      <c r="O31" s="97">
        <v>1935833.25</v>
      </c>
      <c r="P31" s="126">
        <v>7.2796971096036694E-2</v>
      </c>
      <c r="Q31" s="105">
        <v>0</v>
      </c>
      <c r="R31" s="97">
        <f>1165005+472722</f>
        <v>1637727</v>
      </c>
      <c r="S31" s="97">
        <v>308992</v>
      </c>
      <c r="T31" s="103">
        <v>6.9267209981665162E-2</v>
      </c>
      <c r="U31" s="97">
        <v>134809.93090000001</v>
      </c>
      <c r="V31" s="97">
        <v>0</v>
      </c>
      <c r="W31" s="97">
        <v>0</v>
      </c>
      <c r="X31" s="97">
        <v>11820.6</v>
      </c>
      <c r="Y31" s="97">
        <v>929.93</v>
      </c>
      <c r="Z31" s="97">
        <v>1683.48</v>
      </c>
      <c r="AA31" s="97">
        <v>7746.66</v>
      </c>
      <c r="AB31" s="97">
        <v>3259.41</v>
      </c>
      <c r="AC31" s="97">
        <v>137.91</v>
      </c>
      <c r="AD31" s="97">
        <v>480</v>
      </c>
      <c r="AE31" s="97">
        <v>2692.1600000000003</v>
      </c>
      <c r="AF31" s="97">
        <v>2764.1</v>
      </c>
      <c r="AG31" s="97">
        <v>0</v>
      </c>
      <c r="AH31" s="97">
        <v>0</v>
      </c>
      <c r="AI31" s="97">
        <v>0</v>
      </c>
      <c r="AJ31" s="97">
        <v>43029.19</v>
      </c>
      <c r="AK31" s="104">
        <f t="shared" si="5"/>
        <v>0</v>
      </c>
      <c r="AL31" s="105">
        <v>0</v>
      </c>
      <c r="AM31" s="105">
        <v>96470.49</v>
      </c>
      <c r="AN31" s="105">
        <v>0</v>
      </c>
      <c r="AO31" s="105">
        <v>0</v>
      </c>
      <c r="AP31" s="105">
        <v>14730.69</v>
      </c>
      <c r="AQ31" s="105">
        <v>0</v>
      </c>
      <c r="AR31" s="105">
        <v>0</v>
      </c>
      <c r="AS31" s="105">
        <v>0</v>
      </c>
      <c r="AT31" s="105">
        <v>57</v>
      </c>
      <c r="AU31" s="105">
        <v>17</v>
      </c>
      <c r="AV31" s="105">
        <v>0</v>
      </c>
      <c r="AW31" s="105">
        <v>-1</v>
      </c>
      <c r="AX31" s="105">
        <v>-7</v>
      </c>
      <c r="AY31" s="105">
        <v>-12</v>
      </c>
      <c r="AZ31" s="105">
        <v>0</v>
      </c>
      <c r="BA31" s="106">
        <f t="shared" si="7"/>
        <v>54</v>
      </c>
      <c r="BB31" s="97">
        <v>0</v>
      </c>
      <c r="BC31" s="97">
        <v>0</v>
      </c>
      <c r="BD31" s="97">
        <v>1</v>
      </c>
      <c r="BE31" s="97">
        <v>11</v>
      </c>
      <c r="BF31" s="97">
        <v>0</v>
      </c>
      <c r="BG31" s="97">
        <v>0</v>
      </c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</row>
    <row r="32" spans="1:228" s="92" customFormat="1" ht="15.6" x14ac:dyDescent="0.3">
      <c r="A32" s="89">
        <v>12</v>
      </c>
      <c r="B32" s="90" t="s">
        <v>168</v>
      </c>
      <c r="C32" s="90" t="s">
        <v>26</v>
      </c>
      <c r="D32" s="57" t="s">
        <v>215</v>
      </c>
      <c r="E32" s="57"/>
      <c r="F32" s="57" t="s">
        <v>216</v>
      </c>
      <c r="G32" s="94" t="s">
        <v>69</v>
      </c>
      <c r="H32" s="97">
        <v>310191</v>
      </c>
      <c r="I32" s="97">
        <v>310191</v>
      </c>
      <c r="J32" s="97">
        <v>0</v>
      </c>
      <c r="K32" s="97">
        <v>19944.54</v>
      </c>
      <c r="L32" s="97">
        <v>6597</v>
      </c>
      <c r="M32" s="97">
        <v>63530</v>
      </c>
      <c r="N32" s="97">
        <v>3305</v>
      </c>
      <c r="O32" s="97">
        <v>102714.54</v>
      </c>
      <c r="P32" s="126">
        <v>7</v>
      </c>
      <c r="Q32" s="105">
        <f>102715-93377</f>
        <v>9338</v>
      </c>
      <c r="R32" s="97">
        <v>93377</v>
      </c>
      <c r="S32" s="97">
        <v>0</v>
      </c>
      <c r="T32" s="103">
        <v>0.1</v>
      </c>
      <c r="U32" s="97">
        <v>9337.7000000000007</v>
      </c>
      <c r="V32" s="97">
        <v>0</v>
      </c>
      <c r="W32" s="97">
        <v>0</v>
      </c>
      <c r="X32" s="97">
        <v>3048</v>
      </c>
      <c r="Y32" s="97">
        <v>238</v>
      </c>
      <c r="Z32" s="97">
        <v>493</v>
      </c>
      <c r="AA32" s="97">
        <v>747</v>
      </c>
      <c r="AB32" s="97">
        <v>0</v>
      </c>
      <c r="AC32" s="97">
        <v>442</v>
      </c>
      <c r="AD32" s="97">
        <v>0</v>
      </c>
      <c r="AE32" s="97">
        <v>649</v>
      </c>
      <c r="AF32" s="97">
        <v>4246</v>
      </c>
      <c r="AG32" s="97">
        <v>0</v>
      </c>
      <c r="AH32" s="97">
        <v>1313</v>
      </c>
      <c r="AI32" s="97">
        <v>0</v>
      </c>
      <c r="AJ32" s="97">
        <v>13510</v>
      </c>
      <c r="AK32" s="104">
        <f t="shared" si="5"/>
        <v>0</v>
      </c>
      <c r="AL32" s="105">
        <v>0</v>
      </c>
      <c r="AM32" s="105">
        <v>6550</v>
      </c>
      <c r="AN32" s="105">
        <v>0</v>
      </c>
      <c r="AO32" s="105">
        <v>0</v>
      </c>
      <c r="AP32" s="105">
        <v>3</v>
      </c>
      <c r="AQ32" s="105">
        <v>0</v>
      </c>
      <c r="AR32" s="105">
        <v>0</v>
      </c>
      <c r="AS32" s="105">
        <v>0</v>
      </c>
      <c r="AT32" s="105">
        <v>19</v>
      </c>
      <c r="AU32" s="105">
        <v>8</v>
      </c>
      <c r="AV32" s="105">
        <v>0</v>
      </c>
      <c r="AW32" s="105">
        <v>0</v>
      </c>
      <c r="AX32" s="105">
        <v>-5</v>
      </c>
      <c r="AY32" s="105">
        <v>-3</v>
      </c>
      <c r="AZ32" s="105">
        <v>0</v>
      </c>
      <c r="BA32" s="106">
        <f t="shared" si="7"/>
        <v>19</v>
      </c>
      <c r="BB32" s="97">
        <v>1</v>
      </c>
      <c r="BC32" s="97">
        <v>0</v>
      </c>
      <c r="BD32" s="97">
        <v>2</v>
      </c>
      <c r="BE32" s="97">
        <v>1</v>
      </c>
      <c r="BF32" s="97">
        <v>0</v>
      </c>
      <c r="BG32" s="97">
        <v>0</v>
      </c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</row>
    <row r="33" spans="1:228" s="27" customFormat="1" ht="15.6" x14ac:dyDescent="0.3">
      <c r="A33" s="33">
        <v>13</v>
      </c>
      <c r="B33" s="34" t="s">
        <v>169</v>
      </c>
      <c r="C33" s="34" t="s">
        <v>74</v>
      </c>
      <c r="D33" s="57" t="s">
        <v>217</v>
      </c>
      <c r="E33" s="57"/>
      <c r="F33" s="57"/>
      <c r="G33" s="88" t="s">
        <v>91</v>
      </c>
      <c r="H33" s="97">
        <v>522275.01</v>
      </c>
      <c r="I33" s="97">
        <v>530238.41</v>
      </c>
      <c r="J33" s="97">
        <v>4144.1400000000003</v>
      </c>
      <c r="K33" s="97">
        <v>249844.59</v>
      </c>
      <c r="L33" s="97">
        <v>20036.29</v>
      </c>
      <c r="M33" s="97">
        <v>110384.14</v>
      </c>
      <c r="N33" s="97">
        <v>0</v>
      </c>
      <c r="O33" s="97">
        <v>417777.9</v>
      </c>
      <c r="P33" s="126">
        <v>1.0352963478047299</v>
      </c>
      <c r="Q33" s="105">
        <f>417778-409415</f>
        <v>8363</v>
      </c>
      <c r="R33" s="97">
        <v>409415</v>
      </c>
      <c r="S33" s="97">
        <v>0</v>
      </c>
      <c r="T33" s="103">
        <v>9.9999999999999992E-2</v>
      </c>
      <c r="U33" s="97">
        <v>29149.48</v>
      </c>
      <c r="V33" s="97">
        <v>280536.96999999997</v>
      </c>
      <c r="W33" s="97">
        <v>0</v>
      </c>
      <c r="X33" s="97">
        <v>11628.78</v>
      </c>
      <c r="Y33" s="97">
        <v>0</v>
      </c>
      <c r="Z33" s="97">
        <v>0</v>
      </c>
      <c r="AA33" s="97">
        <v>0</v>
      </c>
      <c r="AB33" s="97">
        <v>0</v>
      </c>
      <c r="AC33" s="97">
        <v>0</v>
      </c>
      <c r="AD33" s="97">
        <v>50</v>
      </c>
      <c r="AE33" s="97">
        <v>226.94</v>
      </c>
      <c r="AF33" s="97">
        <v>0</v>
      </c>
      <c r="AG33" s="97">
        <v>0</v>
      </c>
      <c r="AH33" s="97">
        <v>0</v>
      </c>
      <c r="AI33" s="97">
        <v>11855.72</v>
      </c>
      <c r="AJ33" s="97">
        <v>12599.72</v>
      </c>
      <c r="AK33" s="104">
        <f t="shared" si="5"/>
        <v>0.94095106875390877</v>
      </c>
      <c r="AL33" s="105">
        <v>0</v>
      </c>
      <c r="AM33" s="105">
        <v>24913.16</v>
      </c>
      <c r="AN33" s="105">
        <v>0</v>
      </c>
      <c r="AO33" s="105">
        <v>1501</v>
      </c>
      <c r="AP33" s="105">
        <v>10</v>
      </c>
      <c r="AQ33" s="105">
        <v>0</v>
      </c>
      <c r="AR33" s="105">
        <v>0</v>
      </c>
      <c r="AS33" s="105">
        <v>0</v>
      </c>
      <c r="AT33" s="105">
        <v>39</v>
      </c>
      <c r="AU33" s="105">
        <v>4</v>
      </c>
      <c r="AV33" s="105">
        <v>0</v>
      </c>
      <c r="AW33" s="105">
        <v>-1</v>
      </c>
      <c r="AX33" s="105">
        <v>-11</v>
      </c>
      <c r="AY33" s="105">
        <v>-9</v>
      </c>
      <c r="AZ33" s="105">
        <v>0</v>
      </c>
      <c r="BA33" s="106">
        <f t="shared" si="7"/>
        <v>22</v>
      </c>
      <c r="BB33" s="97">
        <v>4</v>
      </c>
      <c r="BC33" s="97">
        <v>3</v>
      </c>
      <c r="BD33" s="97">
        <v>1</v>
      </c>
      <c r="BE33" s="97">
        <v>3</v>
      </c>
      <c r="BF33" s="97">
        <v>2</v>
      </c>
      <c r="BG33" s="97">
        <v>0</v>
      </c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</row>
    <row r="34" spans="1:228" s="27" customFormat="1" ht="15.6" x14ac:dyDescent="0.3">
      <c r="A34" s="33">
        <v>13</v>
      </c>
      <c r="B34" s="34" t="s">
        <v>170</v>
      </c>
      <c r="C34" s="34" t="s">
        <v>115</v>
      </c>
      <c r="D34" s="57" t="s">
        <v>218</v>
      </c>
      <c r="E34" s="57"/>
      <c r="F34" s="57" t="s">
        <v>219</v>
      </c>
      <c r="G34" s="88" t="s">
        <v>17</v>
      </c>
      <c r="H34" s="97">
        <v>2307094</v>
      </c>
      <c r="I34" s="97">
        <v>2320432</v>
      </c>
      <c r="J34" s="97">
        <v>291176</v>
      </c>
      <c r="K34" s="97">
        <v>1621185</v>
      </c>
      <c r="L34" s="97">
        <v>28329</v>
      </c>
      <c r="M34" s="97">
        <v>52556</v>
      </c>
      <c r="N34" s="97">
        <v>15958</v>
      </c>
      <c r="O34" s="97">
        <v>1881530</v>
      </c>
      <c r="P34" s="126">
        <v>0.52351962266662899</v>
      </c>
      <c r="Q34" s="105">
        <f>1881530-1740156</f>
        <v>141374</v>
      </c>
      <c r="R34" s="97">
        <f>1391101+176761</f>
        <v>1567862</v>
      </c>
      <c r="S34" s="97">
        <v>433058</v>
      </c>
      <c r="T34" s="103">
        <v>6.3935577134518126E-2</v>
      </c>
      <c r="U34" s="97">
        <v>128112.97500000001</v>
      </c>
      <c r="V34" s="97">
        <v>176807</v>
      </c>
      <c r="W34" s="97">
        <v>81</v>
      </c>
      <c r="X34" s="97">
        <v>5315</v>
      </c>
      <c r="Y34" s="97">
        <v>0</v>
      </c>
      <c r="Z34" s="97">
        <v>0</v>
      </c>
      <c r="AA34" s="97">
        <v>0</v>
      </c>
      <c r="AB34" s="97">
        <v>4839</v>
      </c>
      <c r="AC34" s="97">
        <v>2481</v>
      </c>
      <c r="AD34" s="97">
        <v>0</v>
      </c>
      <c r="AE34" s="97">
        <v>2689</v>
      </c>
      <c r="AF34" s="97">
        <v>2596.5</v>
      </c>
      <c r="AG34" s="97">
        <v>0</v>
      </c>
      <c r="AH34" s="97">
        <v>978</v>
      </c>
      <c r="AI34" s="97">
        <v>3774</v>
      </c>
      <c r="AJ34" s="97">
        <v>26135.5</v>
      </c>
      <c r="AK34" s="104">
        <f t="shared" si="5"/>
        <v>0.14440129326012513</v>
      </c>
      <c r="AL34" s="105">
        <v>0</v>
      </c>
      <c r="AM34" s="105">
        <v>115400</v>
      </c>
      <c r="AN34" s="105">
        <v>105.04099999996799</v>
      </c>
      <c r="AO34" s="105">
        <v>6380.8</v>
      </c>
      <c r="AP34" s="105">
        <v>4760.5</v>
      </c>
      <c r="AQ34" s="105">
        <v>0</v>
      </c>
      <c r="AR34" s="105">
        <v>0</v>
      </c>
      <c r="AS34" s="105">
        <v>0</v>
      </c>
      <c r="AT34" s="105">
        <v>50</v>
      </c>
      <c r="AU34" s="105">
        <v>10</v>
      </c>
      <c r="AV34" s="105">
        <v>0</v>
      </c>
      <c r="AW34" s="105">
        <v>-5</v>
      </c>
      <c r="AX34" s="105">
        <v>-10</v>
      </c>
      <c r="AY34" s="105">
        <v>-4</v>
      </c>
      <c r="AZ34" s="105">
        <v>0</v>
      </c>
      <c r="BA34" s="106">
        <f t="shared" si="7"/>
        <v>41</v>
      </c>
      <c r="BB34" s="97">
        <v>0</v>
      </c>
      <c r="BC34" s="97">
        <v>0</v>
      </c>
      <c r="BD34" s="97">
        <v>0</v>
      </c>
      <c r="BE34" s="97">
        <v>3</v>
      </c>
      <c r="BF34" s="97">
        <v>1</v>
      </c>
      <c r="BG34" s="97">
        <v>0</v>
      </c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</row>
    <row r="35" spans="1:228" s="27" customFormat="1" ht="15.6" x14ac:dyDescent="0.3">
      <c r="A35" s="33">
        <v>17</v>
      </c>
      <c r="B35" s="34" t="s">
        <v>171</v>
      </c>
      <c r="C35" s="57" t="s">
        <v>142</v>
      </c>
      <c r="D35" s="57" t="s">
        <v>220</v>
      </c>
      <c r="E35" s="57"/>
      <c r="F35" s="57" t="s">
        <v>188</v>
      </c>
      <c r="G35" s="88" t="s">
        <v>25</v>
      </c>
      <c r="H35" s="97">
        <v>1784744.23</v>
      </c>
      <c r="I35" s="97">
        <v>1794359.23</v>
      </c>
      <c r="J35" s="97">
        <v>3687</v>
      </c>
      <c r="K35" s="97">
        <v>1320110</v>
      </c>
      <c r="L35" s="97">
        <v>131177.09</v>
      </c>
      <c r="M35" s="97">
        <v>96127.62</v>
      </c>
      <c r="N35" s="97">
        <v>113671</v>
      </c>
      <c r="O35" s="97">
        <v>1791952.71</v>
      </c>
      <c r="P35" s="126">
        <v>0</v>
      </c>
      <c r="Q35" s="105">
        <f>1791953-1782338</f>
        <v>9615</v>
      </c>
      <c r="R35" s="97">
        <f>1431225-3124+9615+1670-3704+356270</f>
        <v>1791952</v>
      </c>
      <c r="S35" s="97">
        <v>0</v>
      </c>
      <c r="T35" s="103">
        <v>6.8941540319416864E-2</v>
      </c>
      <c r="U35" s="97">
        <v>123498</v>
      </c>
      <c r="V35" s="97">
        <v>96150</v>
      </c>
      <c r="W35" s="97">
        <v>0</v>
      </c>
      <c r="X35" s="97">
        <v>0</v>
      </c>
      <c r="Y35" s="97">
        <v>0</v>
      </c>
      <c r="Z35" s="97">
        <v>0</v>
      </c>
      <c r="AA35" s="97">
        <v>1235.04</v>
      </c>
      <c r="AB35" s="97">
        <v>0</v>
      </c>
      <c r="AC35" s="97">
        <v>990.74</v>
      </c>
      <c r="AD35" s="97">
        <v>19000</v>
      </c>
      <c r="AE35" s="97">
        <v>5862</v>
      </c>
      <c r="AF35" s="97">
        <v>694</v>
      </c>
      <c r="AG35" s="97">
        <v>1085</v>
      </c>
      <c r="AH35" s="97">
        <v>1960</v>
      </c>
      <c r="AI35" s="97">
        <v>1235.04</v>
      </c>
      <c r="AJ35" s="97">
        <v>33183.78</v>
      </c>
      <c r="AK35" s="104">
        <f t="shared" si="5"/>
        <v>3.72181831002978E-2</v>
      </c>
      <c r="AL35" s="105">
        <v>0</v>
      </c>
      <c r="AM35" s="105">
        <v>89717</v>
      </c>
      <c r="AN35" s="105">
        <v>0</v>
      </c>
      <c r="AO35" s="105">
        <v>0</v>
      </c>
      <c r="AP35" s="105">
        <v>11646.22</v>
      </c>
      <c r="AQ35" s="105">
        <v>0</v>
      </c>
      <c r="AR35" s="105">
        <v>0</v>
      </c>
      <c r="AS35" s="105">
        <v>0</v>
      </c>
      <c r="AT35" s="105">
        <v>33</v>
      </c>
      <c r="AU35" s="105">
        <v>2</v>
      </c>
      <c r="AV35" s="105">
        <v>0</v>
      </c>
      <c r="AW35" s="105">
        <v>-1</v>
      </c>
      <c r="AX35" s="105">
        <v>-4</v>
      </c>
      <c r="AY35" s="105">
        <v>-1</v>
      </c>
      <c r="AZ35" s="105">
        <v>0</v>
      </c>
      <c r="BA35" s="106">
        <f t="shared" si="7"/>
        <v>29</v>
      </c>
      <c r="BB35" s="97">
        <v>0</v>
      </c>
      <c r="BC35" s="97">
        <v>1</v>
      </c>
      <c r="BD35" s="97">
        <v>0</v>
      </c>
      <c r="BE35" s="97">
        <v>0</v>
      </c>
      <c r="BF35" s="97">
        <v>0</v>
      </c>
      <c r="BG35" s="97">
        <v>0</v>
      </c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</row>
    <row r="36" spans="1:228" s="74" customFormat="1" ht="15.6" x14ac:dyDescent="0.3">
      <c r="A36" s="69">
        <v>17</v>
      </c>
      <c r="B36" s="70" t="s">
        <v>172</v>
      </c>
      <c r="C36" s="70" t="s">
        <v>81</v>
      </c>
      <c r="D36" s="71" t="s">
        <v>221</v>
      </c>
      <c r="E36" s="71"/>
      <c r="F36" s="71" t="s">
        <v>222</v>
      </c>
      <c r="G36" s="87" t="s">
        <v>243</v>
      </c>
      <c r="H36" s="98">
        <v>1295402.8999999999</v>
      </c>
      <c r="I36" s="98">
        <v>1295414.8999999999</v>
      </c>
      <c r="J36" s="98">
        <v>217.4</v>
      </c>
      <c r="K36" s="98">
        <v>931555.25</v>
      </c>
      <c r="L36" s="98">
        <v>114645.84</v>
      </c>
      <c r="M36" s="98">
        <v>111244.72</v>
      </c>
      <c r="N36" s="98">
        <v>32732.18</v>
      </c>
      <c r="O36" s="98">
        <v>1289752.99</v>
      </c>
      <c r="P36" s="127">
        <v>2.16</v>
      </c>
      <c r="Q36" s="129">
        <v>0</v>
      </c>
      <c r="R36" s="98">
        <v>1289753</v>
      </c>
      <c r="S36" s="98">
        <v>0</v>
      </c>
      <c r="T36" s="139">
        <v>0.08</v>
      </c>
      <c r="U36" s="98">
        <v>99575.24</v>
      </c>
      <c r="V36" s="98">
        <v>0</v>
      </c>
      <c r="W36" s="98">
        <v>19</v>
      </c>
      <c r="X36" s="98">
        <v>25476.39</v>
      </c>
      <c r="Y36" s="98">
        <v>2928.66</v>
      </c>
      <c r="Z36" s="98">
        <v>0</v>
      </c>
      <c r="AA36" s="98">
        <v>4264.9399999999996</v>
      </c>
      <c r="AB36" s="98">
        <v>762.9</v>
      </c>
      <c r="AC36" s="98">
        <v>110</v>
      </c>
      <c r="AD36" s="98">
        <v>0</v>
      </c>
      <c r="AE36" s="98">
        <v>3702.37</v>
      </c>
      <c r="AF36" s="98">
        <v>0</v>
      </c>
      <c r="AG36" s="98">
        <v>0</v>
      </c>
      <c r="AH36" s="98">
        <v>1325.97</v>
      </c>
      <c r="AI36" s="98">
        <v>0</v>
      </c>
      <c r="AJ36" s="98">
        <v>44555.95</v>
      </c>
      <c r="AK36" s="128">
        <f t="shared" si="5"/>
        <v>0</v>
      </c>
      <c r="AL36" s="129">
        <v>0</v>
      </c>
      <c r="AM36" s="129">
        <v>50776.92</v>
      </c>
      <c r="AN36" s="129">
        <v>0</v>
      </c>
      <c r="AO36" s="129">
        <v>0</v>
      </c>
      <c r="AP36" s="129">
        <v>12072.13</v>
      </c>
      <c r="AQ36" s="129">
        <v>0</v>
      </c>
      <c r="AR36" s="129">
        <v>0</v>
      </c>
      <c r="AS36" s="129">
        <v>0</v>
      </c>
      <c r="AT36" s="129">
        <v>35</v>
      </c>
      <c r="AU36" s="129">
        <v>0</v>
      </c>
      <c r="AV36" s="129">
        <v>0</v>
      </c>
      <c r="AW36" s="129">
        <v>0</v>
      </c>
      <c r="AX36" s="129">
        <v>-2</v>
      </c>
      <c r="AY36" s="129">
        <v>-5</v>
      </c>
      <c r="AZ36" s="129">
        <v>0</v>
      </c>
      <c r="BA36" s="111">
        <f t="shared" si="7"/>
        <v>28</v>
      </c>
      <c r="BB36" s="98">
        <v>0</v>
      </c>
      <c r="BC36" s="98">
        <v>1</v>
      </c>
      <c r="BD36" s="98">
        <v>0</v>
      </c>
      <c r="BE36" s="98">
        <v>2</v>
      </c>
      <c r="BF36" s="98">
        <v>2</v>
      </c>
      <c r="BG36" s="98">
        <v>0</v>
      </c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</row>
    <row r="37" spans="1:228" s="93" customFormat="1" ht="15.6" x14ac:dyDescent="0.3">
      <c r="A37" s="69">
        <v>17</v>
      </c>
      <c r="B37" s="70" t="s">
        <v>173</v>
      </c>
      <c r="C37" s="70" t="s">
        <v>75</v>
      </c>
      <c r="D37" s="71" t="s">
        <v>223</v>
      </c>
      <c r="E37" s="71"/>
      <c r="F37" s="71" t="s">
        <v>203</v>
      </c>
      <c r="G37" s="87" t="s">
        <v>243</v>
      </c>
      <c r="H37" s="98">
        <v>1518650.92</v>
      </c>
      <c r="I37" s="98">
        <v>1518650.92</v>
      </c>
      <c r="J37" s="98">
        <v>21616.400000000001</v>
      </c>
      <c r="K37" s="98">
        <v>763326.71</v>
      </c>
      <c r="L37" s="98">
        <v>144100.03</v>
      </c>
      <c r="M37" s="98">
        <v>228500.02</v>
      </c>
      <c r="N37" s="98">
        <v>92641.15</v>
      </c>
      <c r="O37" s="98">
        <v>1429206.5</v>
      </c>
      <c r="P37" s="127">
        <v>2</v>
      </c>
      <c r="Q37" s="129">
        <f>1429207-1424264</f>
        <v>4943</v>
      </c>
      <c r="R37" s="98">
        <v>1067456</v>
      </c>
      <c r="S37" s="98">
        <f>153589+368118</f>
        <v>521707</v>
      </c>
      <c r="T37" s="139">
        <v>6.9999999999999993E-2</v>
      </c>
      <c r="U37" s="98">
        <v>111241.4485</v>
      </c>
      <c r="V37" s="98">
        <v>0</v>
      </c>
      <c r="W37" s="98">
        <v>0</v>
      </c>
      <c r="X37" s="98">
        <v>0</v>
      </c>
      <c r="Y37" s="98">
        <v>0</v>
      </c>
      <c r="Z37" s="98">
        <v>0</v>
      </c>
      <c r="AA37" s="98">
        <v>2400</v>
      </c>
      <c r="AB37" s="98">
        <v>14.99</v>
      </c>
      <c r="AC37" s="98">
        <v>450</v>
      </c>
      <c r="AD37" s="98">
        <v>30000</v>
      </c>
      <c r="AE37" s="98">
        <v>2250</v>
      </c>
      <c r="AF37" s="98">
        <v>0</v>
      </c>
      <c r="AG37" s="98">
        <v>470</v>
      </c>
      <c r="AH37" s="98">
        <v>0</v>
      </c>
      <c r="AI37" s="98">
        <v>0</v>
      </c>
      <c r="AJ37" s="98">
        <v>35936.99</v>
      </c>
      <c r="AK37" s="128">
        <f t="shared" si="5"/>
        <v>0</v>
      </c>
      <c r="AL37" s="129">
        <v>0</v>
      </c>
      <c r="AM37" s="129">
        <v>71460.33</v>
      </c>
      <c r="AN37" s="129">
        <v>6.4999999885913002E-3</v>
      </c>
      <c r="AO37" s="129">
        <v>0</v>
      </c>
      <c r="AP37" s="129">
        <v>12487.18</v>
      </c>
      <c r="AQ37" s="129">
        <v>0</v>
      </c>
      <c r="AR37" s="129">
        <v>0</v>
      </c>
      <c r="AS37" s="129">
        <v>0</v>
      </c>
      <c r="AT37" s="129">
        <v>35</v>
      </c>
      <c r="AU37" s="129">
        <v>12</v>
      </c>
      <c r="AV37" s="129">
        <v>0</v>
      </c>
      <c r="AW37" s="129">
        <v>-1</v>
      </c>
      <c r="AX37" s="129">
        <v>-11</v>
      </c>
      <c r="AY37" s="129">
        <v>-4</v>
      </c>
      <c r="AZ37" s="129">
        <v>0</v>
      </c>
      <c r="BA37" s="111">
        <f t="shared" si="7"/>
        <v>31</v>
      </c>
      <c r="BB37" s="98">
        <v>0</v>
      </c>
      <c r="BC37" s="98">
        <v>1</v>
      </c>
      <c r="BD37" s="98">
        <v>0</v>
      </c>
      <c r="BE37" s="98">
        <v>1</v>
      </c>
      <c r="BF37" s="98">
        <v>2</v>
      </c>
      <c r="BG37" s="98">
        <v>0</v>
      </c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</row>
    <row r="38" spans="1:228" s="93" customFormat="1" ht="15.6" x14ac:dyDescent="0.3">
      <c r="A38" s="69">
        <v>17</v>
      </c>
      <c r="B38" s="70" t="s">
        <v>239</v>
      </c>
      <c r="C38" s="70" t="s">
        <v>85</v>
      </c>
      <c r="D38" s="71" t="s">
        <v>221</v>
      </c>
      <c r="E38" s="71"/>
      <c r="F38" s="71" t="s">
        <v>203</v>
      </c>
      <c r="G38" s="87" t="s">
        <v>25</v>
      </c>
      <c r="H38" s="98">
        <v>350881.46</v>
      </c>
      <c r="I38" s="98">
        <v>350881.46</v>
      </c>
      <c r="J38" s="98">
        <v>0</v>
      </c>
      <c r="K38" s="98">
        <v>295208.59999999998</v>
      </c>
      <c r="L38" s="98">
        <v>1012</v>
      </c>
      <c r="M38" s="98">
        <v>18916.509999999998</v>
      </c>
      <c r="N38" s="98">
        <v>1627.25</v>
      </c>
      <c r="O38" s="98">
        <v>344824.32000000001</v>
      </c>
      <c r="P38" s="127">
        <v>0.17</v>
      </c>
      <c r="Q38" s="129">
        <f>344824-350881</f>
        <v>-6057</v>
      </c>
      <c r="R38" s="98">
        <f>112636+216619</f>
        <v>329255</v>
      </c>
      <c r="S38" s="98">
        <v>0</v>
      </c>
      <c r="T38" s="139">
        <v>0.08</v>
      </c>
      <c r="U38" s="98">
        <v>28059.999599999999</v>
      </c>
      <c r="V38" s="98">
        <v>0</v>
      </c>
      <c r="W38" s="98">
        <v>0</v>
      </c>
      <c r="X38" s="98">
        <v>0</v>
      </c>
      <c r="Y38" s="98">
        <v>0</v>
      </c>
      <c r="Z38" s="98">
        <v>0</v>
      </c>
      <c r="AA38" s="98">
        <v>900</v>
      </c>
      <c r="AB38" s="98">
        <v>3344</v>
      </c>
      <c r="AC38" s="98">
        <v>345.86</v>
      </c>
      <c r="AD38" s="98">
        <v>71.099999999999994</v>
      </c>
      <c r="AE38" s="98">
        <v>1059.19</v>
      </c>
      <c r="AF38" s="98">
        <v>302.64</v>
      </c>
      <c r="AG38" s="98">
        <v>0</v>
      </c>
      <c r="AH38" s="98">
        <v>0</v>
      </c>
      <c r="AI38" s="98">
        <v>0</v>
      </c>
      <c r="AJ38" s="98">
        <v>7451.37</v>
      </c>
      <c r="AK38" s="128">
        <f t="shared" si="5"/>
        <v>0</v>
      </c>
      <c r="AL38" s="129">
        <v>0</v>
      </c>
      <c r="AM38" s="129">
        <v>17537.48</v>
      </c>
      <c r="AN38" s="129">
        <v>0</v>
      </c>
      <c r="AO38" s="129">
        <v>0</v>
      </c>
      <c r="AP38" s="129">
        <v>3334.51</v>
      </c>
      <c r="AQ38" s="129">
        <v>0</v>
      </c>
      <c r="AR38" s="129">
        <v>0</v>
      </c>
      <c r="AS38" s="129">
        <v>0</v>
      </c>
      <c r="AT38" s="129">
        <v>6</v>
      </c>
      <c r="AU38" s="129">
        <v>3</v>
      </c>
      <c r="AV38" s="129">
        <v>0</v>
      </c>
      <c r="AW38" s="129">
        <v>-1</v>
      </c>
      <c r="AX38" s="129">
        <v>0</v>
      </c>
      <c r="AY38" s="129">
        <v>0</v>
      </c>
      <c r="AZ38" s="129">
        <v>0</v>
      </c>
      <c r="BA38" s="111">
        <f t="shared" si="7"/>
        <v>8</v>
      </c>
      <c r="BB38" s="98">
        <v>0</v>
      </c>
      <c r="BC38" s="98">
        <v>0</v>
      </c>
      <c r="BD38" s="98">
        <v>0</v>
      </c>
      <c r="BE38" s="98">
        <v>0</v>
      </c>
      <c r="BF38" s="98">
        <v>0</v>
      </c>
      <c r="BG38" s="98">
        <v>0</v>
      </c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</row>
    <row r="39" spans="1:228" s="74" customFormat="1" ht="15.6" x14ac:dyDescent="0.3">
      <c r="A39" s="69">
        <v>18</v>
      </c>
      <c r="B39" s="84" t="s">
        <v>174</v>
      </c>
      <c r="C39" s="84" t="s">
        <v>147</v>
      </c>
      <c r="D39" s="71" t="s">
        <v>224</v>
      </c>
      <c r="E39" s="71"/>
      <c r="F39" s="71" t="s">
        <v>196</v>
      </c>
      <c r="G39" s="87" t="s">
        <v>148</v>
      </c>
      <c r="H39" s="98">
        <v>3431122</v>
      </c>
      <c r="I39" s="98">
        <v>3593431</v>
      </c>
      <c r="J39" s="98">
        <v>928230</v>
      </c>
      <c r="K39" s="98">
        <v>1511462</v>
      </c>
      <c r="L39" s="98">
        <v>85879</v>
      </c>
      <c r="M39" s="98">
        <v>313357</v>
      </c>
      <c r="N39" s="98">
        <v>447397</v>
      </c>
      <c r="O39" s="98">
        <v>2736824</v>
      </c>
      <c r="P39" s="127">
        <v>0.52359156759105696</v>
      </c>
      <c r="Q39" s="129">
        <f>2736824-2541129</f>
        <v>195695</v>
      </c>
      <c r="R39" s="98">
        <f>604767+506493</f>
        <v>1111260</v>
      </c>
      <c r="S39" s="98">
        <f>1138051+291818</f>
        <v>1429869</v>
      </c>
      <c r="T39" s="139">
        <v>3.6973076730854669E-2</v>
      </c>
      <c r="U39" s="98">
        <v>93880.357499999998</v>
      </c>
      <c r="V39" s="98">
        <v>4245486.2699999996</v>
      </c>
      <c r="W39" s="98">
        <v>0</v>
      </c>
      <c r="X39" s="98">
        <v>13440</v>
      </c>
      <c r="Y39" s="98">
        <v>0</v>
      </c>
      <c r="Z39" s="98">
        <v>0</v>
      </c>
      <c r="AA39" s="98">
        <v>0</v>
      </c>
      <c r="AB39" s="98">
        <v>21999</v>
      </c>
      <c r="AC39" s="98">
        <v>4409</v>
      </c>
      <c r="AD39" s="98">
        <v>0</v>
      </c>
      <c r="AE39" s="98">
        <v>1277</v>
      </c>
      <c r="AF39" s="98">
        <v>1225</v>
      </c>
      <c r="AG39" s="98">
        <v>0</v>
      </c>
      <c r="AH39" s="98">
        <v>0</v>
      </c>
      <c r="AI39" s="98">
        <v>13440</v>
      </c>
      <c r="AJ39" s="98">
        <v>47096</v>
      </c>
      <c r="AK39" s="128">
        <f t="shared" si="5"/>
        <v>0.2853745541022592</v>
      </c>
      <c r="AL39" s="129">
        <v>0</v>
      </c>
      <c r="AM39" s="129">
        <v>207063.51</v>
      </c>
      <c r="AN39" s="129">
        <v>0</v>
      </c>
      <c r="AO39" s="129">
        <v>0</v>
      </c>
      <c r="AP39" s="129">
        <v>21263.75</v>
      </c>
      <c r="AQ39" s="129">
        <v>0</v>
      </c>
      <c r="AR39" s="129">
        <v>0</v>
      </c>
      <c r="AS39" s="129">
        <v>0</v>
      </c>
      <c r="AT39" s="129">
        <v>42</v>
      </c>
      <c r="AU39" s="129">
        <v>2</v>
      </c>
      <c r="AV39" s="129">
        <v>0</v>
      </c>
      <c r="AW39" s="129">
        <v>-2</v>
      </c>
      <c r="AX39" s="129">
        <v>-4</v>
      </c>
      <c r="AY39" s="129">
        <v>-2</v>
      </c>
      <c r="AZ39" s="129">
        <v>0</v>
      </c>
      <c r="BA39" s="111">
        <f t="shared" si="7"/>
        <v>36</v>
      </c>
      <c r="BB39" s="98">
        <v>1</v>
      </c>
      <c r="BC39" s="98">
        <v>1</v>
      </c>
      <c r="BD39" s="98">
        <v>0</v>
      </c>
      <c r="BE39" s="98">
        <v>1</v>
      </c>
      <c r="BF39" s="98">
        <v>0</v>
      </c>
      <c r="BG39" s="98">
        <v>0</v>
      </c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</row>
    <row r="40" spans="1:228" s="92" customFormat="1" ht="15.6" x14ac:dyDescent="0.3">
      <c r="A40" s="89">
        <v>18</v>
      </c>
      <c r="B40" s="90" t="s">
        <v>175</v>
      </c>
      <c r="C40" s="90" t="s">
        <v>143</v>
      </c>
      <c r="D40" s="57" t="s">
        <v>225</v>
      </c>
      <c r="E40" s="57"/>
      <c r="F40" s="57" t="s">
        <v>203</v>
      </c>
      <c r="G40" s="94" t="s">
        <v>70</v>
      </c>
      <c r="H40" s="97">
        <v>407533</v>
      </c>
      <c r="I40" s="97">
        <v>407546</v>
      </c>
      <c r="J40" s="97">
        <v>51550</v>
      </c>
      <c r="K40" s="97">
        <v>242474</v>
      </c>
      <c r="L40" s="97">
        <v>29781</v>
      </c>
      <c r="M40" s="97">
        <v>10920</v>
      </c>
      <c r="N40" s="97">
        <v>0</v>
      </c>
      <c r="O40" s="97">
        <v>315601</v>
      </c>
      <c r="P40" s="126">
        <v>2.19</v>
      </c>
      <c r="Q40" s="105">
        <v>0</v>
      </c>
      <c r="R40" s="97">
        <v>315602</v>
      </c>
      <c r="S40" s="97">
        <v>0</v>
      </c>
      <c r="T40" s="103">
        <v>0.09</v>
      </c>
      <c r="U40" s="97">
        <v>28486.18</v>
      </c>
      <c r="V40" s="97">
        <v>0</v>
      </c>
      <c r="W40" s="97">
        <v>17</v>
      </c>
      <c r="X40" s="97">
        <v>0</v>
      </c>
      <c r="Y40" s="97">
        <v>0</v>
      </c>
      <c r="Z40" s="97">
        <v>0</v>
      </c>
      <c r="AA40" s="97">
        <v>2349</v>
      </c>
      <c r="AB40" s="97">
        <v>2095</v>
      </c>
      <c r="AC40" s="97">
        <v>1525</v>
      </c>
      <c r="AD40" s="97">
        <v>0</v>
      </c>
      <c r="AE40" s="97">
        <v>2289</v>
      </c>
      <c r="AF40" s="97">
        <v>0</v>
      </c>
      <c r="AG40" s="97">
        <v>135</v>
      </c>
      <c r="AH40" s="97">
        <v>790</v>
      </c>
      <c r="AI40" s="97">
        <v>5869</v>
      </c>
      <c r="AJ40" s="97">
        <v>11910</v>
      </c>
      <c r="AK40" s="104">
        <f t="shared" si="5"/>
        <v>0.49277917716204872</v>
      </c>
      <c r="AL40" s="105">
        <v>0</v>
      </c>
      <c r="AM40" s="105">
        <v>15780</v>
      </c>
      <c r="AN40" s="105">
        <v>0</v>
      </c>
      <c r="AO40" s="105">
        <v>1945</v>
      </c>
      <c r="AP40" s="105">
        <v>8560</v>
      </c>
      <c r="AQ40" s="105">
        <v>0</v>
      </c>
      <c r="AR40" s="105">
        <v>0</v>
      </c>
      <c r="AS40" s="105">
        <v>0</v>
      </c>
      <c r="AT40" s="105">
        <v>6</v>
      </c>
      <c r="AU40" s="105">
        <v>3</v>
      </c>
      <c r="AV40" s="105">
        <v>0</v>
      </c>
      <c r="AW40" s="105">
        <v>0</v>
      </c>
      <c r="AX40" s="105">
        <v>-1</v>
      </c>
      <c r="AY40" s="105">
        <v>0</v>
      </c>
      <c r="AZ40" s="105">
        <v>0</v>
      </c>
      <c r="BA40" s="106">
        <f t="shared" si="7"/>
        <v>8</v>
      </c>
      <c r="BB40" s="97">
        <v>0</v>
      </c>
      <c r="BC40" s="97">
        <v>0</v>
      </c>
      <c r="BD40" s="97">
        <v>0</v>
      </c>
      <c r="BE40" s="97">
        <v>0</v>
      </c>
      <c r="BF40" s="97">
        <v>0</v>
      </c>
      <c r="BG40" s="97">
        <v>0</v>
      </c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</row>
    <row r="41" spans="1:228" s="27" customFormat="1" ht="15.6" x14ac:dyDescent="0.3">
      <c r="A41" s="33">
        <v>18</v>
      </c>
      <c r="B41" s="34" t="s">
        <v>176</v>
      </c>
      <c r="C41" s="34" t="s">
        <v>59</v>
      </c>
      <c r="D41" s="57" t="s">
        <v>226</v>
      </c>
      <c r="E41" s="58"/>
      <c r="F41" s="35"/>
      <c r="G41" s="88" t="s">
        <v>70</v>
      </c>
      <c r="H41" s="97">
        <v>4812841.5599999996</v>
      </c>
      <c r="I41" s="97">
        <v>4815850.75</v>
      </c>
      <c r="J41" s="97">
        <v>29460</v>
      </c>
      <c r="K41" s="97">
        <v>3715942.1</v>
      </c>
      <c r="L41" s="97">
        <v>142724</v>
      </c>
      <c r="M41" s="97">
        <v>232654.79</v>
      </c>
      <c r="N41" s="97">
        <v>89679.74</v>
      </c>
      <c r="O41" s="97">
        <v>4385189.63</v>
      </c>
      <c r="P41" s="126">
        <v>0.95</v>
      </c>
      <c r="Q41" s="105">
        <f>4385190-3553625</f>
        <v>831565</v>
      </c>
      <c r="R41" s="97">
        <f>1311926+3244</f>
        <v>1315170</v>
      </c>
      <c r="S41" s="97">
        <v>2238413</v>
      </c>
      <c r="T41" s="103">
        <v>5.5906775411044822E-2</v>
      </c>
      <c r="U41" s="97">
        <v>197732.84599999999</v>
      </c>
      <c r="V41" s="97">
        <v>0</v>
      </c>
      <c r="W41" s="97">
        <v>428.39</v>
      </c>
      <c r="X41" s="97">
        <v>48774</v>
      </c>
      <c r="Y41" s="97">
        <v>5106.7700000000004</v>
      </c>
      <c r="Z41" s="97">
        <v>7017.96</v>
      </c>
      <c r="AA41" s="97">
        <v>0</v>
      </c>
      <c r="AB41" s="97">
        <v>0</v>
      </c>
      <c r="AC41" s="97">
        <v>515</v>
      </c>
      <c r="AD41" s="97">
        <v>0</v>
      </c>
      <c r="AE41" s="97">
        <v>10257.69</v>
      </c>
      <c r="AF41" s="97">
        <v>0</v>
      </c>
      <c r="AG41" s="97">
        <v>1234.24</v>
      </c>
      <c r="AH41" s="97">
        <v>414.99</v>
      </c>
      <c r="AI41" s="97">
        <v>0</v>
      </c>
      <c r="AJ41" s="97">
        <v>86744.83</v>
      </c>
      <c r="AK41" s="104">
        <f t="shared" si="5"/>
        <v>0</v>
      </c>
      <c r="AL41" s="105">
        <v>0</v>
      </c>
      <c r="AM41" s="105">
        <v>118076.48</v>
      </c>
      <c r="AN41" s="105">
        <v>0</v>
      </c>
      <c r="AO41" s="105">
        <v>14990</v>
      </c>
      <c r="AP41" s="105">
        <v>2406.93999999994</v>
      </c>
      <c r="AQ41" s="105">
        <v>0</v>
      </c>
      <c r="AR41" s="105">
        <v>0</v>
      </c>
      <c r="AS41" s="105">
        <v>0</v>
      </c>
      <c r="AT41" s="105">
        <v>36</v>
      </c>
      <c r="AU41" s="105">
        <v>2</v>
      </c>
      <c r="AV41" s="105">
        <v>0</v>
      </c>
      <c r="AW41" s="105">
        <v>-1</v>
      </c>
      <c r="AX41" s="105">
        <v>-4</v>
      </c>
      <c r="AY41" s="105">
        <v>-1</v>
      </c>
      <c r="AZ41" s="105">
        <v>0</v>
      </c>
      <c r="BA41" s="106">
        <f t="shared" si="7"/>
        <v>32</v>
      </c>
      <c r="BB41" s="97">
        <v>0</v>
      </c>
      <c r="BC41" s="97">
        <v>0</v>
      </c>
      <c r="BD41" s="97">
        <v>0</v>
      </c>
      <c r="BE41" s="97">
        <v>1</v>
      </c>
      <c r="BF41" s="97">
        <v>0</v>
      </c>
      <c r="BG41" s="97">
        <v>0</v>
      </c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</row>
    <row r="42" spans="1:228" s="92" customFormat="1" ht="15.6" x14ac:dyDescent="0.3">
      <c r="A42" s="89">
        <v>20</v>
      </c>
      <c r="B42" s="90" t="s">
        <v>177</v>
      </c>
      <c r="C42" s="90" t="s">
        <v>80</v>
      </c>
      <c r="D42" s="57" t="s">
        <v>227</v>
      </c>
      <c r="E42" s="57"/>
      <c r="F42" s="57" t="s">
        <v>222</v>
      </c>
      <c r="G42" s="94" t="s">
        <v>97</v>
      </c>
      <c r="H42" s="97">
        <v>703935</v>
      </c>
      <c r="I42" s="97">
        <v>714347</v>
      </c>
      <c r="J42" s="97">
        <v>28146</v>
      </c>
      <c r="K42" s="97">
        <v>586406</v>
      </c>
      <c r="L42" s="97">
        <v>10517</v>
      </c>
      <c r="M42" s="97">
        <v>36307</v>
      </c>
      <c r="N42" s="97">
        <v>13164</v>
      </c>
      <c r="O42" s="97">
        <v>683306</v>
      </c>
      <c r="P42" s="126">
        <v>0</v>
      </c>
      <c r="Q42" s="105">
        <v>0</v>
      </c>
      <c r="R42" s="97">
        <f>427244+165006</f>
        <v>592250</v>
      </c>
      <c r="S42" s="97">
        <v>91056</v>
      </c>
      <c r="T42" s="103">
        <v>5.4018550985941875E-2</v>
      </c>
      <c r="U42" s="97">
        <v>36912.199999999997</v>
      </c>
      <c r="V42" s="97">
        <v>0</v>
      </c>
      <c r="W42" s="97">
        <v>60</v>
      </c>
      <c r="X42" s="97">
        <v>2300</v>
      </c>
      <c r="Y42" s="97">
        <v>0</v>
      </c>
      <c r="Z42" s="97">
        <v>0</v>
      </c>
      <c r="AA42" s="97">
        <v>919</v>
      </c>
      <c r="AB42" s="97">
        <v>3500</v>
      </c>
      <c r="AC42" s="97">
        <v>0</v>
      </c>
      <c r="AD42" s="97">
        <v>0</v>
      </c>
      <c r="AE42" s="97">
        <v>2085</v>
      </c>
      <c r="AF42" s="97">
        <v>457</v>
      </c>
      <c r="AG42" s="97">
        <v>600</v>
      </c>
      <c r="AH42" s="97">
        <v>0</v>
      </c>
      <c r="AI42" s="97">
        <v>0</v>
      </c>
      <c r="AJ42" s="97">
        <v>12536</v>
      </c>
      <c r="AK42" s="104">
        <f t="shared" si="5"/>
        <v>0</v>
      </c>
      <c r="AL42" s="105">
        <v>0</v>
      </c>
      <c r="AM42" s="105">
        <v>34166</v>
      </c>
      <c r="AN42" s="105">
        <v>0</v>
      </c>
      <c r="AO42" s="105">
        <v>0</v>
      </c>
      <c r="AP42" s="105">
        <v>25213</v>
      </c>
      <c r="AQ42" s="105">
        <v>0</v>
      </c>
      <c r="AR42" s="105">
        <v>0</v>
      </c>
      <c r="AS42" s="105">
        <v>0</v>
      </c>
      <c r="AT42" s="105">
        <v>10</v>
      </c>
      <c r="AU42" s="105">
        <v>3</v>
      </c>
      <c r="AV42" s="105">
        <v>21</v>
      </c>
      <c r="AW42" s="105">
        <v>0</v>
      </c>
      <c r="AX42" s="105">
        <v>-7</v>
      </c>
      <c r="AY42" s="105">
        <v>-11</v>
      </c>
      <c r="AZ42" s="105">
        <v>0</v>
      </c>
      <c r="BA42" s="106">
        <f t="shared" si="7"/>
        <v>16</v>
      </c>
      <c r="BB42" s="97">
        <v>0</v>
      </c>
      <c r="BC42" s="97">
        <v>2</v>
      </c>
      <c r="BD42" s="97">
        <v>0</v>
      </c>
      <c r="BE42" s="97">
        <v>4</v>
      </c>
      <c r="BF42" s="97">
        <v>5</v>
      </c>
      <c r="BG42" s="97">
        <v>0</v>
      </c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</row>
    <row r="43" spans="1:228" s="27" customFormat="1" ht="15.6" x14ac:dyDescent="0.3">
      <c r="A43" s="33">
        <v>20</v>
      </c>
      <c r="B43" s="34" t="s">
        <v>178</v>
      </c>
      <c r="C43" s="34" t="s">
        <v>47</v>
      </c>
      <c r="D43" s="57" t="s">
        <v>228</v>
      </c>
      <c r="E43" s="57"/>
      <c r="F43" s="57"/>
      <c r="G43" s="88" t="s">
        <v>77</v>
      </c>
      <c r="H43" s="97">
        <v>599997.22</v>
      </c>
      <c r="I43" s="97">
        <v>600891.97</v>
      </c>
      <c r="J43" s="97">
        <v>16</v>
      </c>
      <c r="K43" s="97">
        <v>581811.65</v>
      </c>
      <c r="L43" s="97">
        <v>59803.89</v>
      </c>
      <c r="M43" s="97">
        <v>4510.38</v>
      </c>
      <c r="N43" s="97">
        <v>6673.34</v>
      </c>
      <c r="O43" s="97">
        <v>707071.99</v>
      </c>
      <c r="P43" s="126">
        <v>2</v>
      </c>
      <c r="Q43" s="105">
        <f>707072-706249</f>
        <v>823</v>
      </c>
      <c r="R43" s="97">
        <v>464662</v>
      </c>
      <c r="S43" s="97">
        <v>241587</v>
      </c>
      <c r="T43" s="103">
        <v>7.6055082072651298E-2</v>
      </c>
      <c r="U43" s="97">
        <v>53713.799800000001</v>
      </c>
      <c r="V43" s="97">
        <v>7092.5</v>
      </c>
      <c r="W43" s="97">
        <v>8.5399999999999991</v>
      </c>
      <c r="X43" s="97">
        <v>25874.55</v>
      </c>
      <c r="Y43" s="97">
        <v>3353.3</v>
      </c>
      <c r="Z43" s="97">
        <v>1533.3</v>
      </c>
      <c r="AA43" s="97">
        <v>6250</v>
      </c>
      <c r="AB43" s="97">
        <v>708.3</v>
      </c>
      <c r="AC43" s="97">
        <v>3000</v>
      </c>
      <c r="AD43" s="97">
        <v>0</v>
      </c>
      <c r="AE43" s="97">
        <v>1583.4</v>
      </c>
      <c r="AF43" s="97">
        <v>208.3</v>
      </c>
      <c r="AG43" s="97">
        <v>0</v>
      </c>
      <c r="AH43" s="97">
        <v>0</v>
      </c>
      <c r="AI43" s="97">
        <v>45669.55</v>
      </c>
      <c r="AJ43" s="97">
        <v>45669.55</v>
      </c>
      <c r="AK43" s="104">
        <f t="shared" si="5"/>
        <v>1</v>
      </c>
      <c r="AL43" s="105">
        <v>0</v>
      </c>
      <c r="AM43" s="105">
        <v>21230.45</v>
      </c>
      <c r="AN43" s="105">
        <v>0</v>
      </c>
      <c r="AO43" s="105">
        <v>0</v>
      </c>
      <c r="AP43" s="105">
        <v>1997.27000000001</v>
      </c>
      <c r="AQ43" s="105">
        <v>0</v>
      </c>
      <c r="AR43" s="105">
        <v>0</v>
      </c>
      <c r="AS43" s="105">
        <v>0</v>
      </c>
      <c r="AT43" s="105">
        <v>29</v>
      </c>
      <c r="AU43" s="105">
        <v>0</v>
      </c>
      <c r="AV43" s="105">
        <v>0</v>
      </c>
      <c r="AW43" s="105">
        <v>0</v>
      </c>
      <c r="AX43" s="105">
        <v>-3</v>
      </c>
      <c r="AY43" s="105">
        <v>-10</v>
      </c>
      <c r="AZ43" s="105">
        <v>0</v>
      </c>
      <c r="BA43" s="106">
        <f t="shared" si="7"/>
        <v>16</v>
      </c>
      <c r="BB43" s="97">
        <v>1</v>
      </c>
      <c r="BC43" s="97">
        <v>0</v>
      </c>
      <c r="BD43" s="97">
        <v>0</v>
      </c>
      <c r="BE43" s="97">
        <v>0</v>
      </c>
      <c r="BF43" s="97">
        <v>0</v>
      </c>
      <c r="BG43" s="97">
        <v>10</v>
      </c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</row>
    <row r="44" spans="1:228" s="27" customFormat="1" ht="15.6" x14ac:dyDescent="0.3">
      <c r="A44" s="33">
        <v>20</v>
      </c>
      <c r="B44" s="34" t="s">
        <v>179</v>
      </c>
      <c r="C44" s="34" t="s">
        <v>51</v>
      </c>
      <c r="D44" s="57" t="s">
        <v>229</v>
      </c>
      <c r="E44" s="57"/>
      <c r="F44" s="57"/>
      <c r="G44" s="88" t="s">
        <v>77</v>
      </c>
      <c r="H44" s="97">
        <v>522812.34</v>
      </c>
      <c r="I44" s="97">
        <v>526325.81999999995</v>
      </c>
      <c r="J44" s="97">
        <v>0</v>
      </c>
      <c r="K44" s="97">
        <v>295321.06</v>
      </c>
      <c r="L44" s="97">
        <v>13105.4</v>
      </c>
      <c r="M44" s="97">
        <v>151273.10999999999</v>
      </c>
      <c r="N44" s="97">
        <v>8499.15</v>
      </c>
      <c r="O44" s="97">
        <v>523649.81</v>
      </c>
      <c r="P44" s="126">
        <v>3</v>
      </c>
      <c r="Q44" s="105">
        <f>523650-520218</f>
        <v>3432</v>
      </c>
      <c r="R44" s="97">
        <v>520218</v>
      </c>
      <c r="S44" s="97">
        <v>0</v>
      </c>
      <c r="T44" s="103">
        <v>0.1</v>
      </c>
      <c r="U44" s="97">
        <v>52019.258000000002</v>
      </c>
      <c r="V44" s="97">
        <v>30889.56</v>
      </c>
      <c r="W44" s="97">
        <v>26.5</v>
      </c>
      <c r="X44" s="97">
        <v>34166.22</v>
      </c>
      <c r="Y44" s="97">
        <v>3416.62</v>
      </c>
      <c r="Z44" s="97">
        <v>0</v>
      </c>
      <c r="AA44" s="97">
        <v>6094.2</v>
      </c>
      <c r="AB44" s="97">
        <v>0</v>
      </c>
      <c r="AC44" s="97">
        <v>0</v>
      </c>
      <c r="AD44" s="97">
        <v>0</v>
      </c>
      <c r="AE44" s="97">
        <v>4000.1000000000004</v>
      </c>
      <c r="AF44" s="97">
        <v>0</v>
      </c>
      <c r="AG44" s="97">
        <v>0</v>
      </c>
      <c r="AH44" s="97">
        <v>0</v>
      </c>
      <c r="AI44" s="97">
        <v>50110.54</v>
      </c>
      <c r="AJ44" s="97">
        <v>50230.54</v>
      </c>
      <c r="AK44" s="104">
        <f t="shared" si="5"/>
        <v>0.99761101513143202</v>
      </c>
      <c r="AL44" s="105">
        <v>0</v>
      </c>
      <c r="AM44" s="105">
        <v>5247.3</v>
      </c>
      <c r="AN44" s="105">
        <v>0</v>
      </c>
      <c r="AO44" s="105">
        <v>0</v>
      </c>
      <c r="AP44" s="105">
        <v>0.2</v>
      </c>
      <c r="AQ44" s="105">
        <v>0</v>
      </c>
      <c r="AR44" s="105">
        <v>0</v>
      </c>
      <c r="AS44" s="105">
        <v>0</v>
      </c>
      <c r="AT44" s="105">
        <v>30</v>
      </c>
      <c r="AU44" s="105">
        <v>1</v>
      </c>
      <c r="AV44" s="105">
        <v>0</v>
      </c>
      <c r="AW44" s="105">
        <v>-1</v>
      </c>
      <c r="AX44" s="105">
        <v>-3</v>
      </c>
      <c r="AY44" s="105">
        <v>-8</v>
      </c>
      <c r="AZ44" s="105">
        <v>0</v>
      </c>
      <c r="BA44" s="106">
        <f t="shared" si="7"/>
        <v>19</v>
      </c>
      <c r="BB44" s="97">
        <v>0</v>
      </c>
      <c r="BC44" s="97">
        <v>2</v>
      </c>
      <c r="BD44" s="97">
        <v>0</v>
      </c>
      <c r="BE44" s="97">
        <v>2</v>
      </c>
      <c r="BF44" s="97">
        <v>4</v>
      </c>
      <c r="BG44" s="97">
        <v>0</v>
      </c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</row>
    <row r="45" spans="1:228" ht="15.6" x14ac:dyDescent="0.3">
      <c r="A45" s="30">
        <v>20</v>
      </c>
      <c r="B45" s="31" t="s">
        <v>258</v>
      </c>
      <c r="C45" s="31" t="s">
        <v>253</v>
      </c>
      <c r="D45" s="85" t="s">
        <v>256</v>
      </c>
      <c r="E45" s="85"/>
      <c r="F45" s="85" t="s">
        <v>196</v>
      </c>
      <c r="G45" s="35" t="s">
        <v>97</v>
      </c>
      <c r="H45" s="102">
        <v>492099</v>
      </c>
      <c r="I45" s="102">
        <v>492106</v>
      </c>
      <c r="J45" s="102">
        <v>106086</v>
      </c>
      <c r="K45" s="102">
        <v>329302</v>
      </c>
      <c r="L45" s="102">
        <v>32947</v>
      </c>
      <c r="M45" s="102">
        <v>3359</v>
      </c>
      <c r="N45" s="102">
        <v>17947</v>
      </c>
      <c r="O45" s="102">
        <v>425368</v>
      </c>
      <c r="P45" s="130">
        <v>0.16</v>
      </c>
      <c r="Q45" s="123">
        <f>425368-425360</f>
        <v>8</v>
      </c>
      <c r="R45" s="102">
        <v>425360</v>
      </c>
      <c r="S45" s="131">
        <v>0</v>
      </c>
      <c r="T45" s="132">
        <f>41806/425360</f>
        <v>9.8283806657889786E-2</v>
      </c>
      <c r="U45" s="102">
        <v>41805</v>
      </c>
      <c r="V45" s="102">
        <v>0</v>
      </c>
      <c r="W45" s="102">
        <f>7.44+5.28</f>
        <v>12.72</v>
      </c>
      <c r="X45" s="102">
        <v>4183</v>
      </c>
      <c r="Y45" s="102">
        <v>343</v>
      </c>
      <c r="Z45" s="102">
        <v>0</v>
      </c>
      <c r="AA45" s="102">
        <v>4887</v>
      </c>
      <c r="AB45" s="102">
        <v>0</v>
      </c>
      <c r="AC45" s="102">
        <v>170</v>
      </c>
      <c r="AD45" s="102">
        <v>0</v>
      </c>
      <c r="AE45" s="102">
        <f>536+294+681</f>
        <v>1511</v>
      </c>
      <c r="AF45" s="102">
        <v>0</v>
      </c>
      <c r="AG45" s="102">
        <v>0</v>
      </c>
      <c r="AH45" s="102">
        <v>0</v>
      </c>
      <c r="AI45" s="102">
        <v>0</v>
      </c>
      <c r="AJ45" s="102">
        <v>4124</v>
      </c>
      <c r="AK45" s="100">
        <f t="shared" si="5"/>
        <v>0</v>
      </c>
      <c r="AL45" s="102">
        <v>0</v>
      </c>
      <c r="AM45" s="102">
        <v>19301</v>
      </c>
      <c r="AN45" s="102">
        <v>0</v>
      </c>
      <c r="AO45" s="102">
        <v>0</v>
      </c>
      <c r="AP45" s="102">
        <v>29736</v>
      </c>
      <c r="AQ45" s="102">
        <v>0</v>
      </c>
      <c r="AR45" s="102">
        <v>0</v>
      </c>
      <c r="AS45" s="102">
        <v>0</v>
      </c>
      <c r="AT45" s="102">
        <v>22</v>
      </c>
      <c r="AU45" s="102">
        <v>1</v>
      </c>
      <c r="AV45" s="123">
        <v>0</v>
      </c>
      <c r="AW45" s="123">
        <v>0</v>
      </c>
      <c r="AX45" s="123">
        <v>0</v>
      </c>
      <c r="AY45" s="123">
        <v>-2</v>
      </c>
      <c r="AZ45" s="123">
        <v>0</v>
      </c>
      <c r="BA45" s="102">
        <f t="shared" si="7"/>
        <v>21</v>
      </c>
      <c r="BB45" s="102">
        <v>0</v>
      </c>
      <c r="BC45" s="102">
        <v>0</v>
      </c>
      <c r="BD45" s="102">
        <v>0</v>
      </c>
      <c r="BE45" s="102">
        <v>0</v>
      </c>
      <c r="BF45" s="102">
        <v>2</v>
      </c>
      <c r="BG45" s="102">
        <v>0</v>
      </c>
    </row>
    <row r="46" spans="1:228" s="27" customFormat="1" ht="15.6" x14ac:dyDescent="0.3">
      <c r="A46" s="33">
        <v>21</v>
      </c>
      <c r="B46" s="34" t="s">
        <v>180</v>
      </c>
      <c r="C46" s="34" t="s">
        <v>145</v>
      </c>
      <c r="D46" s="57" t="s">
        <v>230</v>
      </c>
      <c r="E46" s="57"/>
      <c r="F46" s="57"/>
      <c r="G46" s="35" t="s">
        <v>105</v>
      </c>
      <c r="H46" s="125">
        <v>3283080</v>
      </c>
      <c r="I46" s="125">
        <v>3283080</v>
      </c>
      <c r="J46" s="125">
        <v>137685</v>
      </c>
      <c r="K46" s="125">
        <v>2098263</v>
      </c>
      <c r="L46" s="125">
        <v>186067</v>
      </c>
      <c r="M46" s="125">
        <v>426408</v>
      </c>
      <c r="N46" s="125">
        <v>136070</v>
      </c>
      <c r="O46" s="125">
        <v>3075364</v>
      </c>
      <c r="P46" s="145">
        <v>0.47</v>
      </c>
      <c r="Q46" s="125">
        <v>-8290</v>
      </c>
      <c r="R46" s="125">
        <v>2657181</v>
      </c>
      <c r="S46" s="125">
        <v>426473</v>
      </c>
      <c r="T46" s="124">
        <v>7.4214580170148786E-2</v>
      </c>
      <c r="U46" s="125">
        <v>228556.087</v>
      </c>
      <c r="V46" s="125">
        <v>0</v>
      </c>
      <c r="W46" s="125">
        <v>0</v>
      </c>
      <c r="X46" s="125">
        <v>72749</v>
      </c>
      <c r="Y46" s="125">
        <v>5565</v>
      </c>
      <c r="Z46" s="125">
        <v>0</v>
      </c>
      <c r="AA46" s="125">
        <v>2485</v>
      </c>
      <c r="AB46" s="125">
        <v>0</v>
      </c>
      <c r="AC46" s="125">
        <v>1504</v>
      </c>
      <c r="AD46" s="125">
        <v>0</v>
      </c>
      <c r="AE46" s="125">
        <v>2300</v>
      </c>
      <c r="AF46" s="125">
        <v>0</v>
      </c>
      <c r="AG46" s="125">
        <v>0</v>
      </c>
      <c r="AH46" s="125">
        <v>0</v>
      </c>
      <c r="AI46" s="125">
        <v>0</v>
      </c>
      <c r="AJ46" s="125">
        <v>91522</v>
      </c>
      <c r="AK46" s="104">
        <f t="shared" si="5"/>
        <v>0</v>
      </c>
      <c r="AL46" s="125">
        <v>0</v>
      </c>
      <c r="AM46" s="125">
        <v>157270</v>
      </c>
      <c r="AN46" s="125">
        <v>0.25</v>
      </c>
      <c r="AO46" s="125">
        <v>0</v>
      </c>
      <c r="AP46" s="125">
        <v>21209</v>
      </c>
      <c r="AQ46" s="125">
        <v>0</v>
      </c>
      <c r="AR46" s="125">
        <v>0</v>
      </c>
      <c r="AS46" s="125">
        <v>0</v>
      </c>
      <c r="AT46" s="125">
        <v>101</v>
      </c>
      <c r="AU46" s="125">
        <v>19</v>
      </c>
      <c r="AV46" s="125">
        <v>-1</v>
      </c>
      <c r="AW46" s="125">
        <v>-2</v>
      </c>
      <c r="AX46" s="125">
        <v>-6</v>
      </c>
      <c r="AY46" s="125">
        <v>-2</v>
      </c>
      <c r="AZ46" s="125">
        <v>0</v>
      </c>
      <c r="BA46" s="106">
        <f t="shared" si="7"/>
        <v>109</v>
      </c>
      <c r="BB46" s="125">
        <v>0</v>
      </c>
      <c r="BC46" s="125">
        <v>0</v>
      </c>
      <c r="BD46" s="125">
        <v>1</v>
      </c>
      <c r="BE46" s="125">
        <v>1</v>
      </c>
      <c r="BF46" s="125">
        <v>0</v>
      </c>
      <c r="BG46" s="125">
        <v>0</v>
      </c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</row>
    <row r="47" spans="1:228" s="27" customFormat="1" ht="15.6" x14ac:dyDescent="0.3">
      <c r="A47" s="33">
        <v>21</v>
      </c>
      <c r="B47" s="34" t="s">
        <v>181</v>
      </c>
      <c r="C47" s="34" t="s">
        <v>140</v>
      </c>
      <c r="D47" s="57" t="s">
        <v>231</v>
      </c>
      <c r="E47" s="57"/>
      <c r="F47" s="57" t="s">
        <v>232</v>
      </c>
      <c r="G47" s="35" t="s">
        <v>58</v>
      </c>
      <c r="H47" s="125">
        <v>1517442</v>
      </c>
      <c r="I47" s="125">
        <v>1521951</v>
      </c>
      <c r="J47" s="125">
        <v>17436</v>
      </c>
      <c r="K47" s="125">
        <v>1144054</v>
      </c>
      <c r="L47" s="125">
        <v>59371</v>
      </c>
      <c r="M47" s="125">
        <v>140678</v>
      </c>
      <c r="N47" s="125">
        <v>14010</v>
      </c>
      <c r="O47" s="125">
        <v>1496886</v>
      </c>
      <c r="P47" s="145">
        <v>0</v>
      </c>
      <c r="Q47" s="125">
        <f>1496886-1492424</f>
        <v>4462</v>
      </c>
      <c r="R47" s="125">
        <v>1127365</v>
      </c>
      <c r="S47" s="125">
        <v>365059</v>
      </c>
      <c r="T47" s="124">
        <f>123668/1492424</f>
        <v>8.2863851023569704E-2</v>
      </c>
      <c r="U47" s="125">
        <v>123688</v>
      </c>
      <c r="V47" s="125">
        <v>40158</v>
      </c>
      <c r="W47" s="125">
        <f>47+46</f>
        <v>93</v>
      </c>
      <c r="X47" s="125">
        <v>70967</v>
      </c>
      <c r="Y47" s="125">
        <v>0</v>
      </c>
      <c r="Z47" s="125">
        <v>0</v>
      </c>
      <c r="AA47" s="125">
        <v>10800</v>
      </c>
      <c r="AB47" s="125">
        <v>729</v>
      </c>
      <c r="AC47" s="125">
        <v>5489</v>
      </c>
      <c r="AD47" s="125">
        <v>3976</v>
      </c>
      <c r="AE47" s="125">
        <f>1803+406+2575</f>
        <v>4784</v>
      </c>
      <c r="AF47" s="125">
        <v>0</v>
      </c>
      <c r="AG47" s="125">
        <v>0</v>
      </c>
      <c r="AH47" s="125">
        <v>0</v>
      </c>
      <c r="AI47" s="125">
        <v>0</v>
      </c>
      <c r="AJ47" s="125">
        <v>107286</v>
      </c>
      <c r="AK47" s="104">
        <f t="shared" si="5"/>
        <v>0</v>
      </c>
      <c r="AL47" s="125">
        <v>0</v>
      </c>
      <c r="AM47" s="125">
        <v>81909</v>
      </c>
      <c r="AN47" s="125">
        <v>437</v>
      </c>
      <c r="AO47" s="125">
        <v>5280</v>
      </c>
      <c r="AP47" s="125">
        <v>14696</v>
      </c>
      <c r="AQ47" s="125">
        <v>0</v>
      </c>
      <c r="AR47" s="125">
        <v>0</v>
      </c>
      <c r="AS47" s="125">
        <v>0</v>
      </c>
      <c r="AT47" s="125">
        <v>56</v>
      </c>
      <c r="AU47" s="125">
        <v>19</v>
      </c>
      <c r="AV47" s="125">
        <v>1</v>
      </c>
      <c r="AW47" s="125">
        <v>-2</v>
      </c>
      <c r="AX47" s="125">
        <v>-7</v>
      </c>
      <c r="AY47" s="125">
        <v>-12</v>
      </c>
      <c r="AZ47" s="125">
        <v>0</v>
      </c>
      <c r="BA47" s="106">
        <v>55</v>
      </c>
      <c r="BB47" s="125">
        <v>2</v>
      </c>
      <c r="BC47" s="125">
        <v>2</v>
      </c>
      <c r="BD47" s="125">
        <v>1</v>
      </c>
      <c r="BE47" s="125">
        <v>4</v>
      </c>
      <c r="BF47" s="125">
        <v>5</v>
      </c>
      <c r="BG47" s="125">
        <v>0</v>
      </c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</row>
    <row r="48" spans="1:228" s="27" customFormat="1" ht="15.6" x14ac:dyDescent="0.3">
      <c r="A48" s="33">
        <v>21</v>
      </c>
      <c r="B48" s="34" t="s">
        <v>182</v>
      </c>
      <c r="C48" s="34" t="s">
        <v>146</v>
      </c>
      <c r="D48" s="57" t="s">
        <v>233</v>
      </c>
      <c r="E48" s="57"/>
      <c r="F48" s="57" t="s">
        <v>201</v>
      </c>
      <c r="G48" s="35" t="s">
        <v>57</v>
      </c>
      <c r="H48" s="125">
        <v>135704</v>
      </c>
      <c r="I48" s="125">
        <v>135704</v>
      </c>
      <c r="J48" s="125">
        <v>556</v>
      </c>
      <c r="K48" s="125">
        <v>89985</v>
      </c>
      <c r="L48" s="125">
        <v>1569</v>
      </c>
      <c r="M48" s="125">
        <v>21627</v>
      </c>
      <c r="N48" s="125">
        <v>2400</v>
      </c>
      <c r="O48" s="125">
        <v>129615</v>
      </c>
      <c r="P48" s="145">
        <v>1.1000000000000001</v>
      </c>
      <c r="Q48" s="125">
        <v>-10977</v>
      </c>
      <c r="R48" s="125">
        <v>140592</v>
      </c>
      <c r="S48" s="125">
        <v>0</v>
      </c>
      <c r="T48" s="124">
        <v>0.1</v>
      </c>
      <c r="U48" s="125">
        <v>14034.2</v>
      </c>
      <c r="V48" s="125">
        <v>0</v>
      </c>
      <c r="W48" s="125">
        <v>0</v>
      </c>
      <c r="X48" s="125">
        <v>4879</v>
      </c>
      <c r="Y48" s="125">
        <v>0</v>
      </c>
      <c r="Z48" s="125">
        <v>0</v>
      </c>
      <c r="AA48" s="125">
        <v>350</v>
      </c>
      <c r="AB48" s="125">
        <v>0</v>
      </c>
      <c r="AC48" s="125">
        <v>250</v>
      </c>
      <c r="AD48" s="125">
        <v>0</v>
      </c>
      <c r="AE48" s="125">
        <v>250</v>
      </c>
      <c r="AF48" s="125">
        <v>0</v>
      </c>
      <c r="AG48" s="125">
        <v>0</v>
      </c>
      <c r="AH48" s="125">
        <v>0</v>
      </c>
      <c r="AI48" s="125">
        <v>0</v>
      </c>
      <c r="AJ48" s="125">
        <v>7017</v>
      </c>
      <c r="AK48" s="104">
        <f t="shared" si="5"/>
        <v>0</v>
      </c>
      <c r="AL48" s="125">
        <v>0</v>
      </c>
      <c r="AM48" s="125">
        <v>7017</v>
      </c>
      <c r="AN48" s="125">
        <v>0.249999999999091</v>
      </c>
      <c r="AO48" s="125">
        <v>0</v>
      </c>
      <c r="AP48" s="125">
        <v>250</v>
      </c>
      <c r="AQ48" s="125">
        <v>0</v>
      </c>
      <c r="AR48" s="125">
        <v>0</v>
      </c>
      <c r="AS48" s="125">
        <v>0</v>
      </c>
      <c r="AT48" s="125">
        <v>10</v>
      </c>
      <c r="AU48" s="125">
        <v>5</v>
      </c>
      <c r="AV48" s="125">
        <v>0</v>
      </c>
      <c r="AW48" s="125">
        <v>-3</v>
      </c>
      <c r="AX48" s="125">
        <v>-3</v>
      </c>
      <c r="AY48" s="125">
        <v>0</v>
      </c>
      <c r="AZ48" s="125">
        <v>0</v>
      </c>
      <c r="BA48" s="106">
        <f>SUM(AT48:AZ48)</f>
        <v>9</v>
      </c>
      <c r="BB48" s="125">
        <v>0</v>
      </c>
      <c r="BC48" s="125">
        <v>0</v>
      </c>
      <c r="BD48" s="125">
        <v>0</v>
      </c>
      <c r="BE48" s="125">
        <v>0</v>
      </c>
      <c r="BF48" s="125">
        <v>0</v>
      </c>
      <c r="BG48" s="125">
        <v>0</v>
      </c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</row>
    <row r="49" spans="1:228" s="27" customFormat="1" ht="15.6" x14ac:dyDescent="0.3">
      <c r="A49" s="33">
        <v>21</v>
      </c>
      <c r="B49" s="34" t="s">
        <v>183</v>
      </c>
      <c r="C49" s="34" t="s">
        <v>18</v>
      </c>
      <c r="D49" s="57" t="s">
        <v>234</v>
      </c>
      <c r="E49" s="57"/>
      <c r="F49" s="57" t="s">
        <v>207</v>
      </c>
      <c r="G49" s="35" t="s">
        <v>63</v>
      </c>
      <c r="H49" s="125">
        <v>267146</v>
      </c>
      <c r="I49" s="125">
        <v>268618</v>
      </c>
      <c r="J49" s="125">
        <v>4893</v>
      </c>
      <c r="K49" s="125">
        <v>220367</v>
      </c>
      <c r="L49" s="125">
        <v>16007</v>
      </c>
      <c r="M49" s="125">
        <v>0</v>
      </c>
      <c r="N49" s="125">
        <v>10372</v>
      </c>
      <c r="O49" s="125">
        <v>279362</v>
      </c>
      <c r="P49" s="145">
        <v>1</v>
      </c>
      <c r="Q49" s="125">
        <v>14063</v>
      </c>
      <c r="R49" s="125">
        <v>265299</v>
      </c>
      <c r="S49" s="125">
        <v>0</v>
      </c>
      <c r="T49" s="124">
        <v>0.1</v>
      </c>
      <c r="U49" s="125">
        <v>26527.9</v>
      </c>
      <c r="V49" s="125">
        <v>12304</v>
      </c>
      <c r="W49" s="125">
        <v>0</v>
      </c>
      <c r="X49" s="125">
        <v>0</v>
      </c>
      <c r="Y49" s="125">
        <v>0</v>
      </c>
      <c r="Z49" s="125">
        <v>0</v>
      </c>
      <c r="AA49" s="125">
        <v>1858</v>
      </c>
      <c r="AB49" s="125">
        <v>7600</v>
      </c>
      <c r="AC49" s="125">
        <v>0</v>
      </c>
      <c r="AD49" s="125">
        <v>0</v>
      </c>
      <c r="AE49" s="125">
        <v>3841</v>
      </c>
      <c r="AF49" s="125">
        <v>0</v>
      </c>
      <c r="AG49" s="125">
        <v>2108</v>
      </c>
      <c r="AH49" s="125">
        <v>0</v>
      </c>
      <c r="AI49" s="125">
        <v>11744</v>
      </c>
      <c r="AJ49" s="125">
        <v>20473</v>
      </c>
      <c r="AK49" s="104">
        <f t="shared" si="5"/>
        <v>0.57363356616030869</v>
      </c>
      <c r="AL49" s="125">
        <v>0</v>
      </c>
      <c r="AM49" s="125">
        <v>13728</v>
      </c>
      <c r="AN49" s="125">
        <v>0</v>
      </c>
      <c r="AO49" s="125">
        <v>0</v>
      </c>
      <c r="AP49" s="125">
        <v>12207</v>
      </c>
      <c r="AQ49" s="125">
        <v>0</v>
      </c>
      <c r="AR49" s="125">
        <v>0</v>
      </c>
      <c r="AS49" s="125">
        <v>0</v>
      </c>
      <c r="AT49" s="125">
        <v>19</v>
      </c>
      <c r="AU49" s="125">
        <v>9</v>
      </c>
      <c r="AV49" s="125">
        <v>0</v>
      </c>
      <c r="AW49" s="125">
        <v>0</v>
      </c>
      <c r="AX49" s="125">
        <v>-1</v>
      </c>
      <c r="AY49" s="125">
        <v>-6</v>
      </c>
      <c r="AZ49" s="125">
        <v>0</v>
      </c>
      <c r="BA49" s="106">
        <f>SUM(AT49:AZ49)</f>
        <v>21</v>
      </c>
      <c r="BB49" s="125">
        <v>0</v>
      </c>
      <c r="BC49" s="125">
        <v>0</v>
      </c>
      <c r="BD49" s="125">
        <v>0</v>
      </c>
      <c r="BE49" s="125">
        <v>0</v>
      </c>
      <c r="BF49" s="125">
        <v>6</v>
      </c>
      <c r="BG49" s="125">
        <v>0</v>
      </c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</row>
    <row r="50" spans="1:228" s="27" customFormat="1" ht="15.6" x14ac:dyDescent="0.3">
      <c r="A50" s="33">
        <v>21</v>
      </c>
      <c r="B50" s="34" t="s">
        <v>184</v>
      </c>
      <c r="C50" s="34" t="s">
        <v>144</v>
      </c>
      <c r="D50" s="57" t="s">
        <v>235</v>
      </c>
      <c r="E50" s="57"/>
      <c r="F50" s="57" t="s">
        <v>188</v>
      </c>
      <c r="G50" s="35" t="s">
        <v>63</v>
      </c>
      <c r="H50" s="125">
        <v>774563.94</v>
      </c>
      <c r="I50" s="125">
        <v>774563.94</v>
      </c>
      <c r="J50" s="125">
        <v>1253.6199999999999</v>
      </c>
      <c r="K50" s="125">
        <v>643266.53</v>
      </c>
      <c r="L50" s="125">
        <v>13007.3</v>
      </c>
      <c r="M50" s="125">
        <v>19729.150000000001</v>
      </c>
      <c r="N50" s="125">
        <v>43732.5</v>
      </c>
      <c r="O50" s="125">
        <v>767473.83</v>
      </c>
      <c r="P50" s="145">
        <v>1</v>
      </c>
      <c r="Q50" s="125">
        <v>0</v>
      </c>
      <c r="R50" s="125">
        <v>768727.45</v>
      </c>
      <c r="S50" s="125">
        <v>0</v>
      </c>
      <c r="T50" s="124">
        <v>0.06</v>
      </c>
      <c r="U50" s="125">
        <v>46077.957000000002</v>
      </c>
      <c r="V50" s="125">
        <v>0</v>
      </c>
      <c r="W50" s="125">
        <v>62.129999999999995</v>
      </c>
      <c r="X50" s="125">
        <v>6500</v>
      </c>
      <c r="Y50" s="125">
        <v>0</v>
      </c>
      <c r="Z50" s="125">
        <v>0</v>
      </c>
      <c r="AA50" s="125">
        <v>1000</v>
      </c>
      <c r="AB50" s="125">
        <v>0</v>
      </c>
      <c r="AC50" s="125">
        <v>500</v>
      </c>
      <c r="AD50" s="125">
        <v>0</v>
      </c>
      <c r="AE50" s="125">
        <v>780.74</v>
      </c>
      <c r="AF50" s="125">
        <v>1047.3</v>
      </c>
      <c r="AG50" s="125">
        <v>0</v>
      </c>
      <c r="AH50" s="125">
        <v>0</v>
      </c>
      <c r="AI50" s="125">
        <v>0</v>
      </c>
      <c r="AJ50" s="125">
        <v>11016.36</v>
      </c>
      <c r="AK50" s="104">
        <f t="shared" si="5"/>
        <v>0</v>
      </c>
      <c r="AL50" s="125">
        <v>0</v>
      </c>
      <c r="AM50" s="125">
        <v>38728.199999999997</v>
      </c>
      <c r="AN50" s="125">
        <v>0</v>
      </c>
      <c r="AO50" s="125">
        <v>0</v>
      </c>
      <c r="AP50" s="125">
        <v>9829.77</v>
      </c>
      <c r="AQ50" s="125">
        <v>0</v>
      </c>
      <c r="AR50" s="125">
        <v>0</v>
      </c>
      <c r="AS50" s="125">
        <v>0</v>
      </c>
      <c r="AT50" s="125">
        <v>20</v>
      </c>
      <c r="AU50" s="125">
        <v>11</v>
      </c>
      <c r="AV50" s="125">
        <v>0</v>
      </c>
      <c r="AW50" s="125">
        <v>0</v>
      </c>
      <c r="AX50" s="125">
        <v>-4</v>
      </c>
      <c r="AY50" s="125">
        <v>-2</v>
      </c>
      <c r="AZ50" s="125">
        <v>0</v>
      </c>
      <c r="BA50" s="106">
        <f>SUM(AT50:AZ50)</f>
        <v>25</v>
      </c>
      <c r="BB50" s="125">
        <v>0</v>
      </c>
      <c r="BC50" s="125">
        <v>2</v>
      </c>
      <c r="BD50" s="125">
        <v>0</v>
      </c>
      <c r="BE50" s="125">
        <v>0</v>
      </c>
      <c r="BF50" s="125">
        <v>0</v>
      </c>
      <c r="BG50" s="125">
        <v>0</v>
      </c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</row>
    <row r="51" spans="1:228" x14ac:dyDescent="0.25">
      <c r="A51" s="14"/>
      <c r="B51" s="14"/>
      <c r="D51" s="14"/>
      <c r="E51" s="14"/>
      <c r="F51" s="14"/>
      <c r="G51" s="14"/>
      <c r="H51" s="21"/>
      <c r="I51" s="21"/>
      <c r="J51" s="21"/>
      <c r="K51" s="21"/>
      <c r="L51" s="21"/>
      <c r="M51" s="21"/>
      <c r="N51" s="21"/>
      <c r="O51" s="21"/>
      <c r="P51" s="24"/>
      <c r="Q51" s="24"/>
      <c r="R51" s="24"/>
      <c r="S51" s="23"/>
      <c r="T51" s="23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</row>
    <row r="52" spans="1:228" x14ac:dyDescent="0.25">
      <c r="A52" s="15"/>
      <c r="B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5"/>
      <c r="Q52" s="25"/>
      <c r="R52" s="25"/>
      <c r="S52" s="17"/>
      <c r="T52" s="17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228" x14ac:dyDescent="0.25">
      <c r="P53" s="9"/>
      <c r="Q53" s="9"/>
      <c r="R53" s="9"/>
      <c r="S53" s="10"/>
      <c r="T53" s="10"/>
    </row>
    <row r="54" spans="1:228" x14ac:dyDescent="0.25">
      <c r="P54" s="9"/>
      <c r="Q54" s="9"/>
      <c r="R54" s="9"/>
      <c r="S54" s="10"/>
      <c r="T54" s="10"/>
    </row>
    <row r="55" spans="1:228" x14ac:dyDescent="0.25">
      <c r="P55" s="9"/>
      <c r="Q55" s="9"/>
      <c r="R55" s="9"/>
      <c r="S55" s="10"/>
      <c r="T55" s="10"/>
    </row>
    <row r="56" spans="1:228" x14ac:dyDescent="0.25">
      <c r="P56" s="9"/>
      <c r="Q56" s="9"/>
      <c r="R56" s="9"/>
      <c r="S56" s="10"/>
      <c r="T56" s="10"/>
    </row>
    <row r="57" spans="1:228" x14ac:dyDescent="0.25">
      <c r="P57" s="9"/>
      <c r="Q57" s="9"/>
      <c r="R57" s="9"/>
      <c r="S57" s="10"/>
      <c r="T57" s="10"/>
    </row>
    <row r="58" spans="1:228" x14ac:dyDescent="0.25">
      <c r="P58" s="9"/>
      <c r="Q58" s="9"/>
      <c r="R58" s="9"/>
      <c r="S58" s="10"/>
      <c r="T58" s="10"/>
    </row>
    <row r="59" spans="1:228" x14ac:dyDescent="0.25">
      <c r="P59" s="9"/>
      <c r="Q59" s="9"/>
      <c r="R59" s="9"/>
      <c r="S59" s="10"/>
      <c r="T59" s="10"/>
    </row>
    <row r="60" spans="1:228" x14ac:dyDescent="0.25">
      <c r="P60" s="9"/>
      <c r="Q60" s="9"/>
      <c r="R60" s="9"/>
      <c r="S60" s="10"/>
      <c r="T60" s="10"/>
    </row>
    <row r="61" spans="1:228" x14ac:dyDescent="0.25">
      <c r="P61" s="9"/>
      <c r="Q61" s="9"/>
      <c r="R61" s="9"/>
      <c r="S61" s="10"/>
      <c r="T61" s="10"/>
    </row>
    <row r="62" spans="1:228" x14ac:dyDescent="0.25">
      <c r="P62" s="9"/>
      <c r="Q62" s="9"/>
      <c r="R62" s="9"/>
      <c r="S62" s="10"/>
      <c r="T62" s="10"/>
    </row>
    <row r="63" spans="1:228" x14ac:dyDescent="0.25">
      <c r="P63" s="9"/>
      <c r="Q63" s="9"/>
      <c r="R63" s="9"/>
      <c r="S63" s="10"/>
      <c r="T63" s="10"/>
    </row>
    <row r="64" spans="1:228" x14ac:dyDescent="0.25">
      <c r="P64" s="9"/>
      <c r="Q64" s="9"/>
      <c r="R64" s="9"/>
      <c r="S64" s="10"/>
      <c r="T64" s="10"/>
    </row>
    <row r="65" spans="16:20" x14ac:dyDescent="0.25">
      <c r="P65" s="9"/>
      <c r="Q65" s="9"/>
      <c r="R65" s="9"/>
      <c r="S65" s="10"/>
      <c r="T65" s="10"/>
    </row>
    <row r="66" spans="16:20" x14ac:dyDescent="0.25">
      <c r="P66" s="9"/>
      <c r="Q66" s="9"/>
      <c r="R66" s="9"/>
      <c r="S66" s="10"/>
      <c r="T66" s="10"/>
    </row>
    <row r="67" spans="16:20" x14ac:dyDescent="0.25">
      <c r="P67" s="9"/>
      <c r="Q67" s="9"/>
      <c r="R67" s="9"/>
      <c r="S67" s="10"/>
      <c r="T67" s="10"/>
    </row>
    <row r="68" spans="16:20" x14ac:dyDescent="0.25">
      <c r="P68" s="9"/>
      <c r="Q68" s="9"/>
      <c r="R68" s="9"/>
      <c r="S68" s="10"/>
      <c r="T68" s="10"/>
    </row>
    <row r="69" spans="16:20" x14ac:dyDescent="0.25">
      <c r="P69" s="9"/>
      <c r="Q69" s="9"/>
      <c r="R69" s="9"/>
      <c r="S69" s="10"/>
      <c r="T69" s="10"/>
    </row>
    <row r="70" spans="16:20" x14ac:dyDescent="0.25">
      <c r="P70" s="9"/>
      <c r="Q70" s="9"/>
      <c r="R70" s="9"/>
      <c r="S70" s="10"/>
      <c r="T70" s="10"/>
    </row>
    <row r="71" spans="16:20" x14ac:dyDescent="0.25">
      <c r="P71" s="9"/>
      <c r="Q71" s="9"/>
      <c r="R71" s="9"/>
      <c r="S71" s="10"/>
      <c r="T71" s="10"/>
    </row>
    <row r="72" spans="16:20" x14ac:dyDescent="0.25">
      <c r="P72" s="9"/>
      <c r="Q72" s="9"/>
      <c r="R72" s="9"/>
      <c r="S72" s="10"/>
      <c r="T72" s="10"/>
    </row>
    <row r="73" spans="16:20" x14ac:dyDescent="0.25">
      <c r="P73" s="9"/>
      <c r="Q73" s="9"/>
      <c r="R73" s="9"/>
      <c r="S73" s="10"/>
      <c r="T73" s="10"/>
    </row>
    <row r="74" spans="16:20" x14ac:dyDescent="0.25">
      <c r="P74" s="9"/>
      <c r="Q74" s="9"/>
      <c r="R74" s="9"/>
      <c r="S74" s="10"/>
      <c r="T74" s="10"/>
    </row>
    <row r="75" spans="16:20" x14ac:dyDescent="0.25">
      <c r="P75" s="9"/>
      <c r="Q75" s="9"/>
      <c r="R75" s="9"/>
      <c r="S75" s="10"/>
      <c r="T75" s="10"/>
    </row>
    <row r="76" spans="16:20" x14ac:dyDescent="0.25">
      <c r="P76" s="9"/>
      <c r="Q76" s="9"/>
      <c r="R76" s="9"/>
      <c r="S76" s="10"/>
      <c r="T76" s="10"/>
    </row>
    <row r="77" spans="16:20" x14ac:dyDescent="0.25">
      <c r="P77" s="9"/>
      <c r="Q77" s="9"/>
      <c r="R77" s="9"/>
      <c r="S77" s="10"/>
      <c r="T77" s="10"/>
    </row>
    <row r="78" spans="16:20" x14ac:dyDescent="0.25">
      <c r="P78" s="9"/>
      <c r="Q78" s="9"/>
      <c r="R78" s="9"/>
      <c r="S78" s="10"/>
      <c r="T78" s="10"/>
    </row>
    <row r="79" spans="16:20" x14ac:dyDescent="0.25">
      <c r="P79" s="9"/>
      <c r="Q79" s="9"/>
      <c r="R79" s="9"/>
    </row>
    <row r="80" spans="16:20" x14ac:dyDescent="0.25">
      <c r="P80" s="9"/>
      <c r="Q80" s="9"/>
      <c r="R80" s="9"/>
    </row>
    <row r="81" spans="16:18" x14ac:dyDescent="0.25">
      <c r="P81" s="9"/>
      <c r="Q81" s="9"/>
      <c r="R81" s="9"/>
    </row>
    <row r="82" spans="16:18" x14ac:dyDescent="0.25">
      <c r="P82" s="9"/>
      <c r="Q82" s="9"/>
      <c r="R82" s="9"/>
    </row>
    <row r="83" spans="16:18" x14ac:dyDescent="0.25">
      <c r="P83" s="9"/>
      <c r="Q83" s="9"/>
      <c r="R83" s="9"/>
    </row>
    <row r="84" spans="16:18" x14ac:dyDescent="0.25">
      <c r="P84" s="9"/>
      <c r="Q84" s="9"/>
      <c r="R84" s="9"/>
    </row>
    <row r="85" spans="16:18" x14ac:dyDescent="0.25">
      <c r="P85" s="9"/>
      <c r="Q85" s="9"/>
      <c r="R85" s="9"/>
    </row>
    <row r="86" spans="16:18" x14ac:dyDescent="0.25">
      <c r="P86" s="9"/>
      <c r="Q86" s="9"/>
      <c r="R86" s="9"/>
    </row>
  </sheetData>
  <mergeCells count="8">
    <mergeCell ref="H1:U1"/>
    <mergeCell ref="V1:AS1"/>
    <mergeCell ref="AT1:BG1"/>
    <mergeCell ref="E5:E7"/>
    <mergeCell ref="O5:O7"/>
    <mergeCell ref="S5:S7"/>
    <mergeCell ref="R5:R7"/>
    <mergeCell ref="Q5:Q7"/>
  </mergeCells>
  <phoneticPr fontId="4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2015 Chapter 12 Annual Reports</dc:title>
  <dc:creator>Finan, Debra  (USTP)</dc:creator>
  <cp:lastModifiedBy>Chery, Rose</cp:lastModifiedBy>
  <dcterms:created xsi:type="dcterms:W3CDTF">2007-10-30T12:54:55Z</dcterms:created>
  <dcterms:modified xsi:type="dcterms:W3CDTF">2016-01-27T17:10:06Z</dcterms:modified>
</cp:coreProperties>
</file>